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4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" sheetId="6" r:id="rId3"/>
    <sheet name="EPMFormattingSheet (2)" sheetId="7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"1_1_2_2_1_2"</definedName>
    <definedName name="__FPMExcelClient_CellBasedFunctionStatus" localSheetId="3" hidden="1">"1_1_2_2_1_2"</definedName>
    <definedName name="__FPMExcelClient_CellBasedFunctionStatus" localSheetId="2" hidden="1">"2_1_2_2_2"</definedName>
    <definedName name="__FPMExcelClient_RefreshTime" localSheetId="1">636162815633390000</definedName>
    <definedName name="__FPMExcelClient_RefreshTime" localSheetId="2">636162816862953000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capítol'!$P$48:$AQ$50</definedName>
    <definedName name="AddDimension" localSheetId="0" hidden="1">EPMFormattingSheet!$D$189</definedName>
    <definedName name="AddDimension" localSheetId="3" hidden="1">'EPMFormattingSheet (2)'!$D$189</definedName>
    <definedName name="AddLevelFirst" localSheetId="0" hidden="1">EPMFormattingSheet!$D$26</definedName>
    <definedName name="AddLevelFirst" localSheetId="3" hidden="1">'EPMFormattingSheet (2)'!$D$47</definedName>
    <definedName name="AddLevelSecond" localSheetId="0" hidden="1">EPMFormattingSheet!$D$47</definedName>
    <definedName name="AddLevelSecond" localSheetId="3" hidden="1">'EPMFormattingSheet (2)'!$D$26</definedName>
    <definedName name="AddMemberFirst" localSheetId="0" hidden="1">EPMFormattingSheet!$D$157</definedName>
    <definedName name="AddMemberFirst" localSheetId="3" hidden="1">'EPMFormattingSheet (2)'!$D$157</definedName>
    <definedName name="AddMemberFirst_1" localSheetId="0" hidden="1">EPMFormattingSheet!$D$155</definedName>
    <definedName name="AddMemberFirst_1" localSheetId="3" hidden="1">'EPMFormattingSheet (2)'!$D$146</definedName>
    <definedName name="AddMemberFirst_2" localSheetId="3" hidden="1">'EPMFormattingSheet (2)'!$D$149</definedName>
    <definedName name="AddMemberFirst_3" localSheetId="3" hidden="1">'EPMFormattingSheet (2)'!$D$152</definedName>
    <definedName name="AddMemberFirst_4" localSheetId="3" hidden="1">'EPMFormattingSheet (2)'!$D$155</definedName>
    <definedName name="AddMemberSecond" localSheetId="0" hidden="1">EPMFormattingSheet!$D$133</definedName>
    <definedName name="AddMemberSecond" localSheetId="3" hidden="1">'EPMFormattingSheet (2)'!$D$124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9" localSheetId="0" hidden="1">EPMFormattingSheet!$D$128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EPMFormattingSheet!$E$136:$G$136</definedName>
    <definedName name="DataFirst" localSheetId="3" hidden="1">'EPMFormattingSheet (2)'!$E$127:$G$127</definedName>
    <definedName name="DataSecond" localSheetId="0" hidden="1">EPMFormattingSheet!$E$172:$G$172</definedName>
    <definedName name="DataSecond" localSheetId="3" hidden="1">'EPMFormattingSheet (2)'!$E$172:$G$172</definedName>
    <definedName name="DataUseFirst" localSheetId="0" hidden="1">EPMFormattingSheet!$H$136</definedName>
    <definedName name="DataUseFirst" localSheetId="3" hidden="1">'EPMFormattingSheet (2)'!$H$127</definedName>
    <definedName name="DataUseSecond" localSheetId="0" hidden="1">EPMFormattingSheet!$H$172</definedName>
    <definedName name="DataUseSecond" localSheetId="3" hidden="1">'EPMFormattingSheet (2)'!$H$172</definedName>
    <definedName name="EPMClientFormattingSheet" localSheetId="0" hidden="1">"2_0"</definedName>
    <definedName name="EPMClientFormattingSheet" localSheetId="3" hidden="1">"2_0"</definedName>
    <definedName name="EPMWorkbookOptions_1" hidden="1">"skEAAB|LCAAAAAAABADsvQdgHEmWJSYvbcp7f0r1StfgdKEIgGATJNiQQBDswYjN5pLsHWlHIymrKoHKZVZlXWYWQMztnbz33nvvvffee||997o7nU4n99//P1xmZAFs9s5K2smeIYCqyB8/fnwfPyIe/x7vFmV6mddNUS0/|2h3vPNRmi|n1axYXnz20bo939799KPf4|g3Th5/t6rfTqrq7Zerlpo2Kb23bB69a4rPPpq37erR3btXV1fjq3v"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"/WvJuL77NSRd39yg37TFN06YN1||OX7|/3XCPL57G87yhONnTZpPT7588eUXZycfIss7O/vkndxelHf//yfKjowhv57u3Nt7urtDJPr/Ost|85R5sH92b|/hjygTo8yPeGaQZ35ElAi7/H|dKP8vMogv3py9OX7zta3hvXv37|/v79/eGu79/9AaCg07fPrw4cP/r7PpN0sQ8g1|RJCAIDv3f0QQnyAv/n8RBv6/R7k/||oFhZaUL33|AfHOpw9"</definedName>
    <definedName name="EPMWorkbookOptions_6" hidden="1">"2dw4OHtxew9/7/5|G9wkZ8uwzRDz39nd3d/|/zrY/G7RBzHNvb/fnrWe/mTZPf0SbYb75EVmiLPP/dbL8v8c4BitqX9s6Utri00/v3XuPdOD|///M49dfnFSQ/69k1Q|lhkeN49MfCW7Q7FatBgT3y1efH7/4sBT|ey/H3f//n9BaMoZW5ktyaHd2dn7eurODZHmw//M5R72ZWz79EVliZPl5m|/aQJb/r5Pk/z128OXpq7Mvn57|EK3gp|9hBb"</definedName>
    <definedName name="EPMWorkbookOptions_7" hidden="1">"P84eThw/2H27PJ5N72/v3dg|3J|YNsO/t0dm/y8N79vb3z2f8LrKASMeTTvZ29n7eKfoAguwfjnf0f0SSkyafjnXs/oklIk5|3i16DTPL/dYL8v8jivfryO6cnb17/UEO/B|9h9P4/Evo5Oobc|vLV/y8W4L55srz58s3x8/|vk|X/PXL85uzlV0Tl4zdf/hDl|OD/f3Ls6BgyLH3|6vTJ8ev/r3PsN0|X/18I8jdPlrMvXhJlXj75/zpl/t|j4"</definedName>
    <definedName name="EPMWorkbookOptions_8" hidden="1">"n7y9NXrsx|menv4/z/1JjQMefUnd3///89z6TdKj2c/okbAHSc/oodHj9Pnx/|fF5f/9yj1L06PX3/16vT1D1Gt7|78/0|vGzJ|n9fGJW9y9v95ue2x6ddn01s0CrCJN3p893i1Kotp1hIc|3nwqWlO0KrlkqabPnuatRl/7H/4puoO/vGr/LzOm/mXyy9X|fLoPCub/PHd8ENud1LmWQ2gXy5fZ5f5EWhMoDufctPvVvXbSVW9JdZsmfcM2P4X"</definedName>
    <definedName name="EPMWorkbookOptions_9" hidden="1">"YfurmU7a47PmJ7O6yCZl/kVeXzgIvc9/48SB/XIlxPh/AgAA//9Hz4PLskEAAA=="</definedName>
    <definedName name="EvenDataFirst" localSheetId="0" hidden="1">EPMFormattingSheet!$F$169</definedName>
    <definedName name="EvenDataFirst" localSheetId="3" hidden="1">'EPMFormattingSheet (2)'!$F$169</definedName>
    <definedName name="EvenDataSecond" localSheetId="0" hidden="1">EPMFormattingSheet!$F$177</definedName>
    <definedName name="EvenDataSecond" localSheetId="3" hidden="1">'EPMFormattingSheet (2)'!$F$177</definedName>
    <definedName name="EvenDataUseFirst" localSheetId="0" hidden="1">EPMFormattingSheet!$H$169</definedName>
    <definedName name="EvenDataUseFirst" localSheetId="3" hidden="1">'EPMFormattingSheet (2)'!$H$169</definedName>
    <definedName name="EvenDataUseSecond" localSheetId="0" hidden="1">EPMFormattingSheet!$H$177</definedName>
    <definedName name="EvenDataUseSecond" localSheetId="3" hidden="1">'EPMFormattingSheet (2)'!$H$177</definedName>
    <definedName name="EvenHeaderFirst" localSheetId="0" hidden="1">EPMFormattingSheet!$J$169</definedName>
    <definedName name="EvenHeaderFirst" localSheetId="3" hidden="1">'EPMFormattingSheet (2)'!$J$169</definedName>
    <definedName name="EvenHeaderSecond" localSheetId="0" hidden="1">EPMFormattingSheet!$J$177</definedName>
    <definedName name="EvenHeaderSecond" localSheetId="3" hidden="1">'EPMFormattingSheet (2)'!$J$177</definedName>
    <definedName name="EvenHeaderUseFirst" localSheetId="0" hidden="1">EPMFormattingSheet!$L$169</definedName>
    <definedName name="EvenHeaderUseFirst" localSheetId="3" hidden="1">'EPMFormattingSheet (2)'!$L$169</definedName>
    <definedName name="EvenHeaderUseSecond" localSheetId="0" hidden="1">EPMFormattingSheet!$L$177</definedName>
    <definedName name="EvenHeaderUseSecond" localSheetId="3" hidden="1">'EPMFormattingSheet (2)'!$L$177</definedName>
    <definedName name="HeaderFirst" localSheetId="0" hidden="1">EPMFormattingSheet!$I$136:$K$136</definedName>
    <definedName name="HeaderFirst" localSheetId="3" hidden="1">'EPMFormattingSheet (2)'!$I$127:$K$127</definedName>
    <definedName name="HeaderSecond" localSheetId="0" hidden="1">EPMFormattingSheet!$I$172:$K$172</definedName>
    <definedName name="HeaderSecond" localSheetId="3" hidden="1">'EPMFormattingSheet (2)'!$I$172:$K$172</definedName>
    <definedName name="HeaderSmallGrid" localSheetId="0" hidden="1">EPMFormattingSheet!$E$183:$G$183</definedName>
    <definedName name="HeaderSmallGrid" localSheetId="3" hidden="1">'EPMFormattingSheet (2)'!$E$183:$G$183</definedName>
    <definedName name="HeaderUseFirst" localSheetId="0" hidden="1">EPMFormattingSheet!$L$136</definedName>
    <definedName name="HeaderUseFirst" localSheetId="3" hidden="1">'EPMFormattingSheet (2)'!$L$127</definedName>
    <definedName name="HeaderUseSecond" localSheetId="0" hidden="1">EPMFormattingSheet!$L$172</definedName>
    <definedName name="HeaderUseSecond" localSheetId="3" hidden="1">'EPMFormattingSheet (2)'!$L$172</definedName>
    <definedName name="HeaderUseSmallGrid" localSheetId="0" hidden="1">EPMFormattingSheet!$H$183:$L$183</definedName>
    <definedName name="HeaderUseSmallGrid" localSheetId="3" hidden="1">'EPMFormattingSheet (2)'!$H$183:$L$183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(2)'!$B$28:$B$48</definedName>
    <definedName name="LevelFirstDataDefault" localSheetId="0" hidden="1">EPMFormattingSheet!$F$11</definedName>
    <definedName name="LevelFirstDataDefault" localSheetId="3" hidden="1">'EPMFormattingSheet (2)'!$F$32</definedName>
    <definedName name="LevelFirstDataLeaf" localSheetId="0" hidden="1">EPMFormattingSheet!$F$14</definedName>
    <definedName name="LevelFirstDataLeaf" localSheetId="3" hidden="1">'EPMFormattingSheet (2)'!$F$35</definedName>
    <definedName name="LevelFirstDataLevel_1" localSheetId="0" hidden="1">EPMFormattingSheet!$F$18</definedName>
    <definedName name="LevelFirstDataLevel_1" localSheetId="3" hidden="1">'EPMFormattingSheet (2)'!$F$39</definedName>
    <definedName name="LevelFirstDataLevel_2" localSheetId="0" hidden="1">EPMFormattingSheet!$F$21</definedName>
    <definedName name="LevelFirstDataLevel_2" localSheetId="3" hidden="1">'EPMFormattingSheet (2)'!$F$42</definedName>
    <definedName name="LevelFirstDataLevel_3" localSheetId="0" hidden="1">EPMFormattingSheet!$F$24</definedName>
    <definedName name="LevelFirstDataLevel_3" localSheetId="3" hidden="1">'EPMFormattingSheet (2)'!$F$45</definedName>
    <definedName name="LevelFirstDataUseDefault" localSheetId="0" hidden="1">EPMFormattingSheet!$H$11</definedName>
    <definedName name="LevelFirstDataUseDefault" localSheetId="3" hidden="1">'EPMFormattingSheet (2)'!$H$32</definedName>
    <definedName name="LevelFirstDataUseLeaf" localSheetId="0" hidden="1">EPMFormattingSheet!$H$14</definedName>
    <definedName name="LevelFirstDataUseLeaf" localSheetId="3" hidden="1">'EPMFormattingSheet (2)'!$H$35</definedName>
    <definedName name="LevelFirstDataUseLevel_1" localSheetId="0" hidden="1">EPMFormattingSheet!$H$18</definedName>
    <definedName name="LevelFirstDataUseLevel_1" localSheetId="3" hidden="1">'EPMFormattingSheet (2)'!$H$39</definedName>
    <definedName name="LevelFirstDataUseLevel_2" localSheetId="0" hidden="1">EPMFormattingSheet!$H$21</definedName>
    <definedName name="LevelFirstDataUseLevel_2" localSheetId="3" hidden="1">'EPMFormattingSheet (2)'!$H$42</definedName>
    <definedName name="LevelFirstDataUseLevel_3" localSheetId="0" hidden="1">EPMFormattingSheet!$H$24</definedName>
    <definedName name="LevelFirstDataUseLevel_3" localSheetId="3" hidden="1">'EPMFormattingSheet (2)'!$H$45</definedName>
    <definedName name="LevelFirstHeaderDefault" localSheetId="0" hidden="1">EPMFormattingSheet!$J$11</definedName>
    <definedName name="LevelFirstHeaderDefault" localSheetId="3" hidden="1">'EPMFormattingSheet (2)'!$J$32</definedName>
    <definedName name="LevelFirstHeaderLeaf" localSheetId="0" hidden="1">EPMFormattingSheet!$J$14</definedName>
    <definedName name="LevelFirstHeaderLeaf" localSheetId="3" hidden="1">'EPMFormattingSheet (2)'!$J$35</definedName>
    <definedName name="LevelFirstHeaderLevel_1" localSheetId="0" hidden="1">EPMFormattingSheet!$J$18</definedName>
    <definedName name="LevelFirstHeaderLevel_1" localSheetId="3" hidden="1">'EPMFormattingSheet (2)'!$J$39</definedName>
    <definedName name="LevelFirstHeaderLevel_2" localSheetId="0" hidden="1">EPMFormattingSheet!$J$21</definedName>
    <definedName name="LevelFirstHeaderLevel_2" localSheetId="3" hidden="1">'EPMFormattingSheet (2)'!$J$42</definedName>
    <definedName name="LevelFirstHeaderLevel_3" localSheetId="0" hidden="1">EPMFormattingSheet!$J$24</definedName>
    <definedName name="LevelFirstHeaderLevel_3" localSheetId="3" hidden="1">'EPMFormattingSheet (2)'!$J$45</definedName>
    <definedName name="LevelFirstHeaderUseDefault" localSheetId="0" hidden="1">EPMFormattingSheet!$L$11</definedName>
    <definedName name="LevelFirstHeaderUseDefault" localSheetId="3" hidden="1">'EPMFormattingSheet (2)'!$L$32</definedName>
    <definedName name="LevelFirstHeaderUseLeaf" localSheetId="0" hidden="1">EPMFormattingSheet!$L$14</definedName>
    <definedName name="LevelFirstHeaderUseLeaf" localSheetId="3" hidden="1">'EPMFormattingSheet (2)'!$L$35</definedName>
    <definedName name="LevelFirstHeaderUseLevel_1" localSheetId="0" hidden="1">EPMFormattingSheet!$L$18</definedName>
    <definedName name="LevelFirstHeaderUseLevel_1" localSheetId="3" hidden="1">'EPMFormattingSheet (2)'!$L$39</definedName>
    <definedName name="LevelFirstHeaderUseLevel_2" localSheetId="0" hidden="1">EPMFormattingSheet!$L$21</definedName>
    <definedName name="LevelFirstHeaderUseLevel_2" localSheetId="3" hidden="1">'EPMFormattingSheet (2)'!$L$42</definedName>
    <definedName name="LevelFirstHeaderUseLevel_3" localSheetId="0" hidden="1">EPMFormattingSheet!$L$24</definedName>
    <definedName name="LevelFirstHeaderUseLevel_3" localSheetId="3" hidden="1">'EPMFormattingSheet (2)'!$L$45</definedName>
    <definedName name="LevelSecondBlock" localSheetId="0" hidden="1">EPMFormattingSheet!$B$28:$B$48</definedName>
    <definedName name="LevelSecondBlock" localSheetId="3" hidden="1">'EPMFormattingSheet (2)'!$B$7:$B$27</definedName>
    <definedName name="LevelSecondDataDefault" localSheetId="0" hidden="1">EPMFormattingSheet!$F$32</definedName>
    <definedName name="LevelSecondDataDefault" localSheetId="3" hidden="1">'EPMFormattingSheet (2)'!$F$11</definedName>
    <definedName name="LevelSecondDataLeaf" localSheetId="0" hidden="1">EPMFormattingSheet!$F$35</definedName>
    <definedName name="LevelSecondDataLeaf" localSheetId="3" hidden="1">'EPMFormattingSheet (2)'!$F$14</definedName>
    <definedName name="LevelSecondDataLevel_1" localSheetId="0" hidden="1">EPMFormattingSheet!$F$39</definedName>
    <definedName name="LevelSecondDataLevel_1" localSheetId="3" hidden="1">'EPMFormattingSheet (2)'!$F$18</definedName>
    <definedName name="LevelSecondDataLevel_2" localSheetId="0" hidden="1">EPMFormattingSheet!$F$42</definedName>
    <definedName name="LevelSecondDataLevel_2" localSheetId="3" hidden="1">'EPMFormattingSheet (2)'!$F$21</definedName>
    <definedName name="LevelSecondDataLevel_3" localSheetId="0" hidden="1">EPMFormattingSheet!$F$45</definedName>
    <definedName name="LevelSecondDataLevel_3" localSheetId="3" hidden="1">'EPMFormattingSheet (2)'!$F$24</definedName>
    <definedName name="LevelSecondDataUseDefault" localSheetId="0" hidden="1">EPMFormattingSheet!$H$32</definedName>
    <definedName name="LevelSecondDataUseDefault" localSheetId="3" hidden="1">'EPMFormattingSheet (2)'!$H$11</definedName>
    <definedName name="LevelSecondDataUseLeaf" localSheetId="0" hidden="1">EPMFormattingSheet!$H$35</definedName>
    <definedName name="LevelSecondDataUseLeaf" localSheetId="3" hidden="1">'EPMFormattingSheet (2)'!$H$14</definedName>
    <definedName name="LevelSecondDataUseLevel_1" localSheetId="0" hidden="1">EPMFormattingSheet!$H$39</definedName>
    <definedName name="LevelSecondDataUseLevel_1" localSheetId="3" hidden="1">'EPMFormattingSheet (2)'!$H$18</definedName>
    <definedName name="LevelSecondDataUseLevel_2" localSheetId="0" hidden="1">EPMFormattingSheet!$H$42</definedName>
    <definedName name="LevelSecondDataUseLevel_2" localSheetId="3" hidden="1">'EPMFormattingSheet (2)'!$H$21</definedName>
    <definedName name="LevelSecondDataUseLevel_3" localSheetId="0" hidden="1">EPMFormattingSheet!$H$45</definedName>
    <definedName name="LevelSecondDataUseLevel_3" localSheetId="3" hidden="1">'EPMFormattingSheet (2)'!$H$24</definedName>
    <definedName name="LevelSecondHeaderDefault" localSheetId="0" hidden="1">EPMFormattingSheet!$J$32</definedName>
    <definedName name="LevelSecondHeaderDefault" localSheetId="3" hidden="1">'EPMFormattingSheet (2)'!$J$11</definedName>
    <definedName name="LevelSecondHeaderLeaf" localSheetId="0" hidden="1">EPMFormattingSheet!$J$35</definedName>
    <definedName name="LevelSecondHeaderLeaf" localSheetId="3" hidden="1">'EPMFormattingSheet (2)'!$J$14</definedName>
    <definedName name="LevelSecondHeaderLevel_1" localSheetId="0" hidden="1">EPMFormattingSheet!$J$39</definedName>
    <definedName name="LevelSecondHeaderLevel_1" localSheetId="3" hidden="1">'EPMFormattingSheet (2)'!$J$18</definedName>
    <definedName name="LevelSecondHeaderLevel_2" localSheetId="0" hidden="1">EPMFormattingSheet!$J$42</definedName>
    <definedName name="LevelSecondHeaderLevel_2" localSheetId="3" hidden="1">'EPMFormattingSheet (2)'!$J$21</definedName>
    <definedName name="LevelSecondHeaderLevel_3" localSheetId="0" hidden="1">EPMFormattingSheet!$J$45</definedName>
    <definedName name="LevelSecondHeaderLevel_3" localSheetId="3" hidden="1">'EPMFormattingSheet (2)'!$J$24</definedName>
    <definedName name="LevelSecondHeaderUseDefault" localSheetId="0" hidden="1">EPMFormattingSheet!$L$32</definedName>
    <definedName name="LevelSecondHeaderUseDefault" localSheetId="3" hidden="1">'EPMFormattingSheet (2)'!$L$11</definedName>
    <definedName name="LevelSecondHeaderUseLeaf" localSheetId="0" hidden="1">EPMFormattingSheet!$L$35</definedName>
    <definedName name="LevelSecondHeaderUseLeaf" localSheetId="3" hidden="1">'EPMFormattingSheet (2)'!$L$14</definedName>
    <definedName name="LevelSecondHeaderUseLevel_1" localSheetId="0" hidden="1">EPMFormattingSheet!$L$39</definedName>
    <definedName name="LevelSecondHeaderUseLevel_1" localSheetId="3" hidden="1">'EPMFormattingSheet (2)'!$L$18</definedName>
    <definedName name="LevelSecondHeaderUseLevel_2" localSheetId="0" hidden="1">EPMFormattingSheet!$L$42</definedName>
    <definedName name="LevelSecondHeaderUseLevel_2" localSheetId="3" hidden="1">'EPMFormattingSheet (2)'!$L$21</definedName>
    <definedName name="LevelSecondHeaderUseLevel_3" localSheetId="0" hidden="1">EPMFormattingSheet!$L$45</definedName>
    <definedName name="LevelSecondHeaderUseLevel_3" localSheetId="3" hidden="1">'EPMFormattingSheet (2)'!$L$24</definedName>
    <definedName name="MemberEndBlock" localSheetId="0" hidden="1">EPMFormattingSheet!$B$159</definedName>
    <definedName name="MemberEndBlock" localSheetId="3" hidden="1">'EPMFormattingSheet (2)'!$B$159</definedName>
    <definedName name="MemberFirstBlock" localSheetId="0" hidden="1">EPMFormattingSheet!$B$135:$B$158</definedName>
    <definedName name="MemberFirstBlock" localSheetId="3" hidden="1">'EPMFormattingSheet (2)'!$B$126:$B$158</definedName>
    <definedName name="MemberFirstDataCalculated" localSheetId="0" hidden="1">EPMFormattingSheet!$F$141</definedName>
    <definedName name="MemberFirstDataCalculated" localSheetId="3" hidden="1">'EPMFormattingSheet (2)'!$F$132</definedName>
    <definedName name="MemberFirstDataChanged" localSheetId="0" hidden="1">EPMFormattingSheet!$F$150</definedName>
    <definedName name="MemberFirstDataChanged" localSheetId="3" hidden="1">'EPMFormattingSheet (2)'!$F$141</definedName>
    <definedName name="MemberFirstDataCustom" localSheetId="0" hidden="1">EPMFormattingSheet!$F$138</definedName>
    <definedName name="MemberFirstDataCustom" localSheetId="3" hidden="1">'EPMFormattingSheet (2)'!$F$129</definedName>
    <definedName name="MemberFirstDataInputable" localSheetId="0" hidden="1">EPMFormattingSheet!$F$144</definedName>
    <definedName name="MemberFirstDataInputable" localSheetId="3" hidden="1">'EPMFormattingSheet (2)'!$F$135</definedName>
    <definedName name="MemberFirstDataItem_1" localSheetId="0" hidden="1">EPMFormattingSheet!$F$155</definedName>
    <definedName name="MemberFirstDataItem_1" localSheetId="3" hidden="1">'EPMFormattingSheet (2)'!$F$146</definedName>
    <definedName name="MemberFirstDataItem_2" localSheetId="3" hidden="1">'EPMFormattingSheet (2)'!$F$149</definedName>
    <definedName name="MemberFirstDataItem_3" localSheetId="3" hidden="1">'EPMFormattingSheet (2)'!$F$152</definedName>
    <definedName name="MemberFirstDataItem_4" localSheetId="3" hidden="1">'EPMFormattingSheet (2)'!$F$155</definedName>
    <definedName name="MemberFirstDataLocal" localSheetId="0" hidden="1">EPMFormattingSheet!$F$147</definedName>
    <definedName name="MemberFirstDataLocal" localSheetId="3" hidden="1">'EPMFormattingSheet (2)'!$F$138</definedName>
    <definedName name="MemberFirstDataUseCalculated" localSheetId="0" hidden="1">EPMFormattingSheet!$H$141</definedName>
    <definedName name="MemberFirstDataUseCalculated" localSheetId="3" hidden="1">'EPMFormattingSheet (2)'!$H$132</definedName>
    <definedName name="MemberFirstDataUseChanged" localSheetId="0" hidden="1">EPMFormattingSheet!$H$150</definedName>
    <definedName name="MemberFirstDataUseChanged" localSheetId="3" hidden="1">'EPMFormattingSheet (2)'!$H$141</definedName>
    <definedName name="MemberFirstDataUseCustom" localSheetId="0" hidden="1">EPMFormattingSheet!$H$138</definedName>
    <definedName name="MemberFirstDataUseCustom" localSheetId="3" hidden="1">'EPMFormattingSheet (2)'!$H$129</definedName>
    <definedName name="MemberFirstDataUseInputable" localSheetId="0" hidden="1">EPMFormattingSheet!$H$144</definedName>
    <definedName name="MemberFirstDataUseInputable" localSheetId="3" hidden="1">'EPMFormattingSheet (2)'!$H$135</definedName>
    <definedName name="MemberFirstDataUseItem_1" localSheetId="0" hidden="1">EPMFormattingSheet!$H$155</definedName>
    <definedName name="MemberFirstDataUseItem_1" localSheetId="3" hidden="1">'EPMFormattingSheet (2)'!$H$146</definedName>
    <definedName name="MemberFirstDataUseItem_2" localSheetId="3" hidden="1">'EPMFormattingSheet (2)'!$H$149</definedName>
    <definedName name="MemberFirstDataUseItem_3" localSheetId="3" hidden="1">'EPMFormattingSheet (2)'!$H$152</definedName>
    <definedName name="MemberFirstDataUseItem_4" localSheetId="3" hidden="1">'EPMFormattingSheet (2)'!$H$155</definedName>
    <definedName name="MemberFirstDataUseLocal" localSheetId="0" hidden="1">EPMFormattingSheet!$H$147</definedName>
    <definedName name="MemberFirstDataUseLocal" localSheetId="3" hidden="1">'EPMFormattingSheet (2)'!$H$138</definedName>
    <definedName name="MemberFirstHeaderCalculated" localSheetId="0" hidden="1">EPMFormattingSheet!$J$141</definedName>
    <definedName name="MemberFirstHeaderCalculated" localSheetId="3" hidden="1">'EPMFormattingSheet (2)'!$J$132</definedName>
    <definedName name="MemberFirstHeaderChanged" localSheetId="0" hidden="1">EPMFormattingSheet!$J$150</definedName>
    <definedName name="MemberFirstHeaderChanged" localSheetId="3" hidden="1">'EPMFormattingSheet (2)'!$J$141</definedName>
    <definedName name="MemberFirstHeaderCustom" localSheetId="0" hidden="1">EPMFormattingSheet!$J$138</definedName>
    <definedName name="MemberFirstHeaderCustom" localSheetId="3" hidden="1">'EPMFormattingSheet (2)'!$J$129</definedName>
    <definedName name="MemberFirstHeaderInputable" localSheetId="0" hidden="1">EPMFormattingSheet!$J$144</definedName>
    <definedName name="MemberFirstHeaderInputable" localSheetId="3" hidden="1">'EPMFormattingSheet (2)'!$J$135</definedName>
    <definedName name="MemberFirstHeaderItem_1" localSheetId="0" hidden="1">EPMFormattingSheet!$J$155</definedName>
    <definedName name="MemberFirstHeaderItem_1" localSheetId="3" hidden="1">'EPMFormattingSheet (2)'!$J$146</definedName>
    <definedName name="MemberFirstHeaderItem_2" localSheetId="3" hidden="1">'EPMFormattingSheet (2)'!$J$149</definedName>
    <definedName name="MemberFirstHeaderItem_3" localSheetId="3" hidden="1">'EPMFormattingSheet (2)'!$J$152</definedName>
    <definedName name="MemberFirstHeaderItem_4" localSheetId="3" hidden="1">'EPMFormattingSheet (2)'!$J$155</definedName>
    <definedName name="MemberFirstHeaderLocal" localSheetId="0" hidden="1">EPMFormattingSheet!$J$147</definedName>
    <definedName name="MemberFirstHeaderLocal" localSheetId="3" hidden="1">'EPMFormattingSheet (2)'!$J$138</definedName>
    <definedName name="MemberFirstHeaderUseCalculated" localSheetId="0" hidden="1">EPMFormattingSheet!$L$141</definedName>
    <definedName name="MemberFirstHeaderUseCalculated" localSheetId="3" hidden="1">'EPMFormattingSheet (2)'!$L$132</definedName>
    <definedName name="MemberFirstHeaderUseChanged" localSheetId="0" hidden="1">EPMFormattingSheet!$L$150</definedName>
    <definedName name="MemberFirstHeaderUseChanged" localSheetId="3" hidden="1">'EPMFormattingSheet (2)'!$L$141</definedName>
    <definedName name="MemberFirstHeaderUseCustom" localSheetId="0" hidden="1">EPMFormattingSheet!$L$138</definedName>
    <definedName name="MemberFirstHeaderUseCustom" localSheetId="3" hidden="1">'EPMFormattingSheet (2)'!$L$129</definedName>
    <definedName name="MemberFirstHeaderUseInputable" localSheetId="0" hidden="1">EPMFormattingSheet!$L$144</definedName>
    <definedName name="MemberFirstHeaderUseInputable" localSheetId="3" hidden="1">'EPMFormattingSheet (2)'!$L$135</definedName>
    <definedName name="MemberFirstHeaderUseItem_1" localSheetId="0" hidden="1">EPMFormattingSheet!$L$155</definedName>
    <definedName name="MemberFirstHeaderUseItem_1" localSheetId="3" hidden="1">'EPMFormattingSheet (2)'!$L$146</definedName>
    <definedName name="MemberFirstHeaderUseItem_2" localSheetId="3" hidden="1">'EPMFormattingSheet (2)'!$L$149</definedName>
    <definedName name="MemberFirstHeaderUseItem_3" localSheetId="3" hidden="1">'EPMFormattingSheet (2)'!$L$152</definedName>
    <definedName name="MemberFirstHeaderUseItem_4" localSheetId="3" hidden="1">'EPMFormattingSheet (2)'!$L$155</definedName>
    <definedName name="MemberFirstHeaderUseLocal" localSheetId="0" hidden="1">EPMFormattingSheet!$L$147</definedName>
    <definedName name="MemberFirstHeaderUseLocal" localSheetId="3" hidden="1">'EPMFormattingSheet (2)'!$L$138</definedName>
    <definedName name="MemberSecondBlock" localSheetId="0" hidden="1">EPMFormattingSheet!$B$54:$B$134</definedName>
    <definedName name="MemberSecondBlock" localSheetId="3" hidden="1">'EPMFormattingSheet (2)'!$B$54:$B$125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9" localSheetId="0" hidden="1">EPMFormattingSheet!$F$128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9" localSheetId="0" hidden="1">EPMFormattingSheet!$H$128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9" localSheetId="0" hidden="1">EPMFormattingSheet!$J$128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9" localSheetId="0" hidden="1">EPMFormattingSheet!$L$128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EPMFormattingSheet!$F$166</definedName>
    <definedName name="OddDataFirst" localSheetId="3" hidden="1">'EPMFormattingSheet (2)'!$F$166</definedName>
    <definedName name="OddDataSecond" localSheetId="0" hidden="1">EPMFormattingSheet!$F$174</definedName>
    <definedName name="OddDataSecond" localSheetId="3" hidden="1">'EPMFormattingSheet (2)'!$F$174</definedName>
    <definedName name="OddDataUseFirst" localSheetId="0" hidden="1">EPMFormattingSheet!$H$166</definedName>
    <definedName name="OddDataUseFirst" localSheetId="3" hidden="1">'EPMFormattingSheet (2)'!$H$166</definedName>
    <definedName name="OddDataUseSecond" localSheetId="0" hidden="1">EPMFormattingSheet!$H$174</definedName>
    <definedName name="OddDataUseSecond" localSheetId="3" hidden="1">'EPMFormattingSheet (2)'!$H$174</definedName>
    <definedName name="OddEvenEndBlock" localSheetId="0" hidden="1">EPMFormattingSheet!$B$179</definedName>
    <definedName name="OddEvenEndBlock" localSheetId="3" hidden="1">'EPMFormattingSheet (2)'!$B$179</definedName>
    <definedName name="OddEvenFirstBlock" localSheetId="0" hidden="1">EPMFormattingSheet!$B$163:$B$170</definedName>
    <definedName name="OddEvenFirstBlock" localSheetId="3" hidden="1">'EPMFormattingSheet (2)'!$B$163:$B$170</definedName>
    <definedName name="OddEvenSecondBlock" localSheetId="0" hidden="1">EPMFormattingSheet!$B$171:$B$178</definedName>
    <definedName name="OddEvenSecondBlock" localSheetId="3" hidden="1">'EPMFormattingSheet (2)'!$B$171:$B$178</definedName>
    <definedName name="OddHeaderFirst" localSheetId="0" hidden="1">EPMFormattingSheet!$J$166</definedName>
    <definedName name="OddHeaderFirst" localSheetId="3" hidden="1">'EPMFormattingSheet (2)'!$J$166</definedName>
    <definedName name="OddHeaderSecond" localSheetId="0" hidden="1">EPMFormattingSheet!$J$174</definedName>
    <definedName name="OddHeaderSecond" localSheetId="3" hidden="1">'EPMFormattingSheet (2)'!$J$174</definedName>
    <definedName name="OddHeaderUseFirst" localSheetId="0" hidden="1">EPMFormattingSheet!$L$166</definedName>
    <definedName name="OddHeaderUseFirst" localSheetId="3" hidden="1">'EPMFormattingSheet (2)'!$L$166</definedName>
    <definedName name="OddHeaderUseSecond" localSheetId="0" hidden="1">EPMFormattingSheet!$L$174</definedName>
    <definedName name="OddHeaderUseSecond" localSheetId="3" hidden="1">'EPMFormattingSheet (2)'!$L$174</definedName>
    <definedName name="PageHeaderDefaultHeader" localSheetId="0" hidden="1">EPMFormattingSheet!$F$185</definedName>
    <definedName name="PageHeaderDefaultHeader" localSheetId="3" hidden="1">'EPMFormattingSheet (2)'!$F$185</definedName>
    <definedName name="PageHeaderDefaultHeaderUse" localSheetId="0" hidden="1">EPMFormattingSheet!$H$185:$L$185</definedName>
    <definedName name="PageHeaderDefaultHeaderUse" localSheetId="3" hidden="1">'EPMFormattingSheet (2)'!$H$185:$L$185</definedName>
    <definedName name="RemoveLevelFirst" localSheetId="0" hidden="1">EPMFormattingSheet!$D$26</definedName>
    <definedName name="RemoveLevelFirst" localSheetId="3" hidden="1">'EPMFormattingSheet (2)'!$D$47</definedName>
    <definedName name="RemoveLevelSecond" localSheetId="0" hidden="1">EPMFormattingSheet!$D$47</definedName>
    <definedName name="RemoveLevelSecond" localSheetId="3" hidden="1">'EPMFormattingSheet (2)'!$D$26</definedName>
  </definedNames>
  <calcPr calcId="152511"/>
</workbook>
</file>

<file path=xl/calcChain.xml><?xml version="1.0" encoding="utf-8"?>
<calcChain xmlns="http://schemas.openxmlformats.org/spreadsheetml/2006/main">
  <c r="T57" i="6" l="1"/>
  <c r="R57" i="6"/>
  <c r="Y50" i="6"/>
  <c r="Y49" i="6"/>
  <c r="Y48" i="6"/>
  <c r="T56" i="6"/>
  <c r="R56" i="6"/>
  <c r="T55" i="6"/>
  <c r="R55" i="6"/>
  <c r="T54" i="6"/>
  <c r="R54" i="6"/>
  <c r="T53" i="6"/>
  <c r="R53" i="6"/>
  <c r="T52" i="6"/>
  <c r="R52" i="6"/>
  <c r="T51" i="6"/>
  <c r="R51" i="6"/>
  <c r="X50" i="6"/>
  <c r="W50" i="6"/>
  <c r="V50" i="6"/>
  <c r="U50" i="6"/>
  <c r="T50" i="6"/>
  <c r="S50" i="6"/>
  <c r="X49" i="6"/>
  <c r="W49" i="6"/>
  <c r="V49" i="6"/>
  <c r="U49" i="6"/>
  <c r="T49" i="6"/>
  <c r="S49" i="6"/>
  <c r="X48" i="6"/>
  <c r="W48" i="6"/>
  <c r="V48" i="6"/>
  <c r="U48" i="6"/>
  <c r="T48" i="6"/>
  <c r="S48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X91" i="1"/>
  <c r="V91" i="1"/>
  <c r="T91" i="1"/>
  <c r="R91" i="1"/>
  <c r="P91" i="1"/>
  <c r="O91" i="1"/>
  <c r="N91" i="1"/>
  <c r="M91" i="1"/>
  <c r="X90" i="1"/>
  <c r="V90" i="1"/>
  <c r="T90" i="1"/>
  <c r="R90" i="1"/>
  <c r="P90" i="1"/>
  <c r="O90" i="1"/>
  <c r="N90" i="1"/>
  <c r="M90" i="1"/>
  <c r="X89" i="1"/>
  <c r="V89" i="1"/>
  <c r="T89" i="1"/>
  <c r="R89" i="1"/>
  <c r="P89" i="1"/>
  <c r="O89" i="1"/>
  <c r="N89" i="1"/>
  <c r="M89" i="1"/>
  <c r="X88" i="1"/>
  <c r="V88" i="1"/>
  <c r="T88" i="1"/>
  <c r="R88" i="1"/>
  <c r="P88" i="1"/>
  <c r="O88" i="1"/>
  <c r="N88" i="1"/>
  <c r="M88" i="1"/>
  <c r="X87" i="1"/>
  <c r="V87" i="1"/>
  <c r="T87" i="1"/>
  <c r="R87" i="1"/>
  <c r="P87" i="1"/>
  <c r="O87" i="1"/>
  <c r="N87" i="1"/>
  <c r="M87" i="1"/>
  <c r="X86" i="1"/>
  <c r="V86" i="1"/>
  <c r="T86" i="1"/>
  <c r="R86" i="1"/>
  <c r="P86" i="1"/>
  <c r="O86" i="1"/>
  <c r="N86" i="1"/>
  <c r="M86" i="1"/>
  <c r="X85" i="1"/>
  <c r="V85" i="1"/>
  <c r="T85" i="1"/>
  <c r="R85" i="1"/>
  <c r="P85" i="1"/>
  <c r="O85" i="1"/>
  <c r="N85" i="1"/>
  <c r="M85" i="1"/>
  <c r="X84" i="1"/>
  <c r="V84" i="1"/>
  <c r="T84" i="1"/>
  <c r="R84" i="1"/>
  <c r="P84" i="1"/>
  <c r="O84" i="1"/>
  <c r="N84" i="1"/>
  <c r="M84" i="1"/>
  <c r="X83" i="1"/>
  <c r="V83" i="1"/>
  <c r="T83" i="1"/>
  <c r="R83" i="1"/>
  <c r="P83" i="1"/>
  <c r="O83" i="1"/>
  <c r="N83" i="1"/>
  <c r="M83" i="1"/>
  <c r="X82" i="1"/>
  <c r="V82" i="1"/>
  <c r="T82" i="1"/>
  <c r="R82" i="1"/>
  <c r="P82" i="1"/>
  <c r="O82" i="1"/>
  <c r="N82" i="1"/>
  <c r="M82" i="1"/>
  <c r="X81" i="1"/>
  <c r="V81" i="1"/>
  <c r="T81" i="1"/>
  <c r="R81" i="1"/>
  <c r="P81" i="1"/>
  <c r="O81" i="1"/>
  <c r="N81" i="1"/>
  <c r="M81" i="1"/>
  <c r="X80" i="1"/>
  <c r="V80" i="1"/>
  <c r="T80" i="1"/>
  <c r="R80" i="1"/>
  <c r="P80" i="1"/>
  <c r="O80" i="1"/>
  <c r="N80" i="1"/>
  <c r="M80" i="1"/>
  <c r="X79" i="1"/>
  <c r="V79" i="1"/>
  <c r="T79" i="1"/>
  <c r="R79" i="1"/>
  <c r="P79" i="1"/>
  <c r="O79" i="1"/>
  <c r="N79" i="1"/>
  <c r="M79" i="1"/>
  <c r="X78" i="1"/>
  <c r="V78" i="1"/>
  <c r="T78" i="1"/>
  <c r="R78" i="1"/>
  <c r="P78" i="1"/>
  <c r="O78" i="1"/>
  <c r="N78" i="1"/>
  <c r="M78" i="1"/>
  <c r="X77" i="1"/>
  <c r="V77" i="1"/>
  <c r="T77" i="1"/>
  <c r="R77" i="1"/>
  <c r="P77" i="1"/>
  <c r="O77" i="1"/>
  <c r="N77" i="1"/>
  <c r="M77" i="1"/>
  <c r="X76" i="1"/>
  <c r="V76" i="1"/>
  <c r="T76" i="1"/>
  <c r="R76" i="1"/>
  <c r="P76" i="1"/>
  <c r="O76" i="1"/>
  <c r="N76" i="1"/>
  <c r="M76" i="1"/>
  <c r="X75" i="1"/>
  <c r="V75" i="1"/>
  <c r="T75" i="1"/>
  <c r="R75" i="1"/>
  <c r="P75" i="1"/>
  <c r="O75" i="1"/>
  <c r="N75" i="1"/>
  <c r="M75" i="1"/>
  <c r="X74" i="1"/>
  <c r="V74" i="1"/>
  <c r="T74" i="1"/>
  <c r="R74" i="1"/>
  <c r="P74" i="1"/>
  <c r="O74" i="1"/>
  <c r="N74" i="1"/>
  <c r="M74" i="1"/>
  <c r="X73" i="1"/>
  <c r="V73" i="1"/>
  <c r="T73" i="1"/>
  <c r="R73" i="1"/>
  <c r="P73" i="1"/>
  <c r="O73" i="1"/>
  <c r="N73" i="1"/>
  <c r="M73" i="1"/>
  <c r="X72" i="1"/>
  <c r="V72" i="1"/>
  <c r="T72" i="1"/>
  <c r="R72" i="1"/>
  <c r="P72" i="1"/>
  <c r="O72" i="1"/>
  <c r="N72" i="1"/>
  <c r="M72" i="1"/>
  <c r="X71" i="1"/>
  <c r="V71" i="1"/>
  <c r="T71" i="1"/>
  <c r="R71" i="1"/>
  <c r="P71" i="1"/>
  <c r="O71" i="1"/>
  <c r="N71" i="1"/>
  <c r="M71" i="1"/>
  <c r="X70" i="1"/>
  <c r="V70" i="1"/>
  <c r="T70" i="1"/>
  <c r="R70" i="1"/>
  <c r="P70" i="1"/>
  <c r="O70" i="1"/>
  <c r="N70" i="1"/>
  <c r="M70" i="1"/>
  <c r="X69" i="1"/>
  <c r="V69" i="1"/>
  <c r="T69" i="1"/>
  <c r="R69" i="1"/>
  <c r="P69" i="1"/>
  <c r="O69" i="1"/>
  <c r="N69" i="1"/>
  <c r="M69" i="1"/>
  <c r="X68" i="1"/>
  <c r="V68" i="1"/>
  <c r="T68" i="1"/>
  <c r="R68" i="1"/>
  <c r="P68" i="1"/>
  <c r="O68" i="1"/>
  <c r="N68" i="1"/>
  <c r="M68" i="1"/>
  <c r="X67" i="1"/>
  <c r="V67" i="1"/>
  <c r="T67" i="1"/>
  <c r="R67" i="1"/>
  <c r="P67" i="1"/>
  <c r="O67" i="1"/>
  <c r="N67" i="1"/>
  <c r="M67" i="1"/>
  <c r="X66" i="1"/>
  <c r="V66" i="1"/>
  <c r="T66" i="1"/>
  <c r="R66" i="1"/>
  <c r="P66" i="1"/>
  <c r="O66" i="1"/>
  <c r="N66" i="1"/>
  <c r="M66" i="1"/>
  <c r="X65" i="1"/>
  <c r="V65" i="1"/>
  <c r="T65" i="1"/>
  <c r="R65" i="1"/>
  <c r="P65" i="1"/>
  <c r="O65" i="1"/>
  <c r="N65" i="1"/>
  <c r="M65" i="1"/>
  <c r="X64" i="1"/>
  <c r="V64" i="1"/>
  <c r="T64" i="1"/>
  <c r="R64" i="1"/>
  <c r="P64" i="1"/>
  <c r="O64" i="1"/>
  <c r="N64" i="1"/>
  <c r="M64" i="1"/>
  <c r="X63" i="1"/>
  <c r="V63" i="1"/>
  <c r="T63" i="1"/>
  <c r="R63" i="1"/>
  <c r="P63" i="1"/>
  <c r="O63" i="1"/>
  <c r="N63" i="1"/>
  <c r="M63" i="1"/>
  <c r="X62" i="1"/>
  <c r="V62" i="1"/>
  <c r="T62" i="1"/>
  <c r="R62" i="1"/>
  <c r="P62" i="1"/>
  <c r="O62" i="1"/>
  <c r="N62" i="1"/>
  <c r="M62" i="1"/>
  <c r="X61" i="1"/>
  <c r="V61" i="1"/>
  <c r="T61" i="1"/>
  <c r="R61" i="1"/>
  <c r="P61" i="1"/>
  <c r="O61" i="1"/>
  <c r="N61" i="1"/>
  <c r="M61" i="1"/>
  <c r="X60" i="1"/>
  <c r="V60" i="1"/>
  <c r="T60" i="1"/>
  <c r="R60" i="1"/>
  <c r="P60" i="1"/>
  <c r="O60" i="1"/>
  <c r="N60" i="1"/>
  <c r="M60" i="1"/>
  <c r="X59" i="1"/>
  <c r="V59" i="1"/>
  <c r="T59" i="1"/>
  <c r="R59" i="1"/>
  <c r="P59" i="1"/>
  <c r="O59" i="1"/>
  <c r="N59" i="1"/>
  <c r="M59" i="1"/>
  <c r="X58" i="1"/>
  <c r="V58" i="1"/>
  <c r="T58" i="1"/>
  <c r="R58" i="1"/>
  <c r="P58" i="1"/>
  <c r="O58" i="1"/>
  <c r="N58" i="1"/>
  <c r="M58" i="1"/>
  <c r="X57" i="1"/>
  <c r="V57" i="1"/>
  <c r="T57" i="1"/>
  <c r="R57" i="1"/>
  <c r="P57" i="1"/>
  <c r="O57" i="1"/>
  <c r="N57" i="1"/>
  <c r="M57" i="1"/>
  <c r="X56" i="1"/>
  <c r="V56" i="1"/>
  <c r="T56" i="1"/>
  <c r="R56" i="1"/>
  <c r="P56" i="1"/>
  <c r="O56" i="1"/>
  <c r="N56" i="1"/>
  <c r="M56" i="1"/>
  <c r="X55" i="1"/>
  <c r="V55" i="1"/>
  <c r="T55" i="1"/>
  <c r="R55" i="1"/>
  <c r="P55" i="1"/>
  <c r="O55" i="1"/>
  <c r="N55" i="1"/>
  <c r="M55" i="1"/>
  <c r="X54" i="1"/>
  <c r="V54" i="1"/>
  <c r="T54" i="1"/>
  <c r="R54" i="1"/>
  <c r="P54" i="1"/>
  <c r="O54" i="1"/>
  <c r="N54" i="1"/>
  <c r="M54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7" i="6"/>
  <c r="V57" i="6"/>
  <c r="W57" i="6"/>
  <c r="X57" i="6"/>
  <c r="Y52" i="6"/>
  <c r="Y53" i="6"/>
  <c r="Y54" i="6"/>
  <c r="Y55" i="6"/>
  <c r="Y56" i="6"/>
  <c r="Y51" i="6"/>
  <c r="Y91" i="1"/>
  <c r="Z91" i="1"/>
  <c r="AA91" i="1"/>
  <c r="AB9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51" i="1"/>
  <c r="Y57" i="6" l="1"/>
  <c r="S57" i="6"/>
  <c r="S55" i="6"/>
  <c r="S53" i="6"/>
  <c r="S51" i="6"/>
  <c r="S56" i="6"/>
  <c r="S54" i="6"/>
  <c r="S52" i="6"/>
  <c r="W91" i="1"/>
  <c r="S91" i="1"/>
  <c r="U91" i="1"/>
  <c r="Q91" i="1"/>
  <c r="W90" i="1"/>
  <c r="U90" i="1"/>
  <c r="S90" i="1"/>
  <c r="Q90" i="1"/>
  <c r="U89" i="1"/>
  <c r="W89" i="1"/>
  <c r="S89" i="1"/>
  <c r="Q89" i="1"/>
  <c r="W88" i="1"/>
  <c r="U88" i="1"/>
  <c r="S88" i="1"/>
  <c r="Q88" i="1"/>
  <c r="W87" i="1"/>
  <c r="S87" i="1"/>
  <c r="U87" i="1"/>
  <c r="Q87" i="1"/>
  <c r="W86" i="1"/>
  <c r="U86" i="1"/>
  <c r="S86" i="1"/>
  <c r="Q86" i="1"/>
  <c r="U85" i="1"/>
  <c r="W85" i="1"/>
  <c r="S85" i="1"/>
  <c r="Q85" i="1"/>
  <c r="W84" i="1"/>
  <c r="U84" i="1"/>
  <c r="S84" i="1"/>
  <c r="Q84" i="1"/>
  <c r="W83" i="1"/>
  <c r="S83" i="1"/>
  <c r="U83" i="1"/>
  <c r="Q83" i="1"/>
  <c r="W82" i="1"/>
  <c r="U82" i="1"/>
  <c r="S82" i="1"/>
  <c r="Q82" i="1"/>
  <c r="U81" i="1"/>
  <c r="W81" i="1"/>
  <c r="S81" i="1"/>
  <c r="Q81" i="1"/>
  <c r="W80" i="1"/>
  <c r="U80" i="1"/>
  <c r="S80" i="1"/>
  <c r="Q80" i="1"/>
  <c r="W79" i="1"/>
  <c r="S79" i="1"/>
  <c r="U79" i="1"/>
  <c r="Q79" i="1"/>
  <c r="W78" i="1"/>
  <c r="U78" i="1"/>
  <c r="S78" i="1"/>
  <c r="Q78" i="1"/>
  <c r="U77" i="1"/>
  <c r="W77" i="1"/>
  <c r="S77" i="1"/>
  <c r="Q77" i="1"/>
  <c r="W76" i="1"/>
  <c r="U76" i="1"/>
  <c r="S76" i="1"/>
  <c r="Q76" i="1"/>
  <c r="W75" i="1"/>
  <c r="S75" i="1"/>
  <c r="U75" i="1"/>
  <c r="Q75" i="1"/>
  <c r="W74" i="1"/>
  <c r="U74" i="1"/>
  <c r="S74" i="1"/>
  <c r="Q74" i="1"/>
  <c r="U73" i="1"/>
  <c r="W73" i="1"/>
  <c r="S73" i="1"/>
  <c r="Q73" i="1"/>
  <c r="W72" i="1"/>
  <c r="U72" i="1"/>
  <c r="S72" i="1"/>
  <c r="Q72" i="1"/>
  <c r="W71" i="1"/>
  <c r="S71" i="1"/>
  <c r="U71" i="1"/>
  <c r="Q71" i="1"/>
  <c r="W70" i="1"/>
  <c r="U70" i="1"/>
  <c r="S70" i="1"/>
  <c r="Q70" i="1"/>
  <c r="U69" i="1"/>
  <c r="W69" i="1"/>
  <c r="S69" i="1"/>
  <c r="Q69" i="1"/>
  <c r="W68" i="1"/>
  <c r="U68" i="1"/>
  <c r="S68" i="1"/>
  <c r="Q68" i="1"/>
  <c r="W67" i="1"/>
  <c r="S67" i="1"/>
  <c r="U67" i="1"/>
  <c r="Q67" i="1"/>
  <c r="W66" i="1"/>
  <c r="U66" i="1"/>
  <c r="S66" i="1"/>
  <c r="Q66" i="1"/>
  <c r="U65" i="1"/>
  <c r="Q65" i="1"/>
  <c r="W65" i="1"/>
  <c r="S65" i="1"/>
  <c r="W64" i="1"/>
  <c r="U64" i="1"/>
  <c r="S64" i="1"/>
  <c r="Q64" i="1"/>
  <c r="W63" i="1"/>
  <c r="S63" i="1"/>
  <c r="U63" i="1"/>
  <c r="Q63" i="1"/>
  <c r="W62" i="1"/>
  <c r="U62" i="1"/>
  <c r="S62" i="1"/>
  <c r="Q62" i="1"/>
  <c r="U61" i="1"/>
  <c r="Q61" i="1"/>
  <c r="W61" i="1"/>
  <c r="S61" i="1"/>
  <c r="W60" i="1"/>
  <c r="U60" i="1"/>
  <c r="S60" i="1"/>
  <c r="Q60" i="1"/>
  <c r="W59" i="1"/>
  <c r="S59" i="1"/>
  <c r="U59" i="1"/>
  <c r="Q59" i="1"/>
  <c r="W58" i="1"/>
  <c r="U58" i="1"/>
  <c r="S58" i="1"/>
  <c r="Q58" i="1"/>
  <c r="U57" i="1"/>
  <c r="Q57" i="1"/>
  <c r="W57" i="1"/>
  <c r="S57" i="1"/>
  <c r="W56" i="1"/>
  <c r="U56" i="1"/>
  <c r="S56" i="1"/>
  <c r="Q56" i="1"/>
  <c r="W55" i="1"/>
  <c r="S55" i="1"/>
  <c r="U55" i="1"/>
  <c r="Q55" i="1"/>
  <c r="W54" i="1"/>
  <c r="U54" i="1"/>
  <c r="S54" i="1"/>
  <c r="Q54" i="1"/>
  <c r="U53" i="1"/>
  <c r="Q53" i="1"/>
  <c r="W53" i="1"/>
  <c r="S53" i="1"/>
  <c r="W52" i="1"/>
  <c r="U52" i="1"/>
  <c r="S52" i="1"/>
  <c r="Q52" i="1"/>
  <c r="W51" i="1"/>
  <c r="U51" i="1"/>
  <c r="S51" i="1"/>
  <c r="Q51" i="1"/>
  <c r="AF51" i="1"/>
  <c r="AG51" i="1"/>
  <c r="AE51" i="1"/>
  <c r="AD51" i="1"/>
  <c r="AG89" i="1"/>
  <c r="AE89" i="1"/>
  <c r="AF89" i="1"/>
  <c r="AD89" i="1"/>
  <c r="AG87" i="1"/>
  <c r="AE87" i="1"/>
  <c r="AF87" i="1"/>
  <c r="AD87" i="1"/>
  <c r="AG85" i="1"/>
  <c r="AE85" i="1"/>
  <c r="AF85" i="1"/>
  <c r="AD85" i="1"/>
  <c r="AG83" i="1"/>
  <c r="AE83" i="1"/>
  <c r="AF83" i="1"/>
  <c r="AD83" i="1"/>
  <c r="AG81" i="1"/>
  <c r="AE81" i="1"/>
  <c r="AF81" i="1"/>
  <c r="AD81" i="1"/>
  <c r="AG79" i="1"/>
  <c r="AE79" i="1"/>
  <c r="AF79" i="1"/>
  <c r="AD79" i="1"/>
  <c r="AG77" i="1"/>
  <c r="AE77" i="1"/>
  <c r="AF77" i="1"/>
  <c r="AD77" i="1"/>
  <c r="AG75" i="1"/>
  <c r="AE75" i="1"/>
  <c r="AF75" i="1"/>
  <c r="AD75" i="1"/>
  <c r="AG73" i="1"/>
  <c r="AE73" i="1"/>
  <c r="AF73" i="1"/>
  <c r="AD73" i="1"/>
  <c r="AG71" i="1"/>
  <c r="AE71" i="1"/>
  <c r="AF71" i="1"/>
  <c r="AD71" i="1"/>
  <c r="AG69" i="1"/>
  <c r="AE69" i="1"/>
  <c r="AF69" i="1"/>
  <c r="AD69" i="1"/>
  <c r="AG67" i="1"/>
  <c r="AE67" i="1"/>
  <c r="AF67" i="1"/>
  <c r="AD67" i="1"/>
  <c r="AG65" i="1"/>
  <c r="AE65" i="1"/>
  <c r="AF65" i="1"/>
  <c r="AD65" i="1"/>
  <c r="AG63" i="1"/>
  <c r="AE63" i="1"/>
  <c r="AF63" i="1"/>
  <c r="AD63" i="1"/>
  <c r="AG61" i="1"/>
  <c r="AE61" i="1"/>
  <c r="AF61" i="1"/>
  <c r="AD61" i="1"/>
  <c r="AG59" i="1"/>
  <c r="AE59" i="1"/>
  <c r="AF59" i="1"/>
  <c r="AD59" i="1"/>
  <c r="AG57" i="1"/>
  <c r="AE57" i="1"/>
  <c r="AF57" i="1"/>
  <c r="AD57" i="1"/>
  <c r="AG55" i="1"/>
  <c r="AE55" i="1"/>
  <c r="AF55" i="1"/>
  <c r="AD55" i="1"/>
  <c r="AG53" i="1"/>
  <c r="AE53" i="1"/>
  <c r="AF53" i="1"/>
  <c r="AD53" i="1"/>
  <c r="AC91" i="1"/>
  <c r="AF90" i="1"/>
  <c r="AG90" i="1"/>
  <c r="AE90" i="1"/>
  <c r="AD90" i="1"/>
  <c r="AF88" i="1"/>
  <c r="AG88" i="1"/>
  <c r="AE88" i="1"/>
  <c r="AD88" i="1"/>
  <c r="AF86" i="1"/>
  <c r="AG86" i="1"/>
  <c r="AE86" i="1"/>
  <c r="AD86" i="1"/>
  <c r="AF84" i="1"/>
  <c r="AG84" i="1"/>
  <c r="AE84" i="1"/>
  <c r="AD84" i="1"/>
  <c r="AF82" i="1"/>
  <c r="AG82" i="1"/>
  <c r="AE82" i="1"/>
  <c r="AD82" i="1"/>
  <c r="AF80" i="1"/>
  <c r="AG80" i="1"/>
  <c r="AE80" i="1"/>
  <c r="AD80" i="1"/>
  <c r="AF78" i="1"/>
  <c r="AG78" i="1"/>
  <c r="AE78" i="1"/>
  <c r="AD78" i="1"/>
  <c r="AF76" i="1"/>
  <c r="AG76" i="1"/>
  <c r="AE76" i="1"/>
  <c r="AD76" i="1"/>
  <c r="AF74" i="1"/>
  <c r="AG74" i="1"/>
  <c r="AE74" i="1"/>
  <c r="AD74" i="1"/>
  <c r="AF72" i="1"/>
  <c r="AG72" i="1"/>
  <c r="AE72" i="1"/>
  <c r="AD72" i="1"/>
  <c r="AF70" i="1"/>
  <c r="AG70" i="1"/>
  <c r="AE70" i="1"/>
  <c r="AD70" i="1"/>
  <c r="AF68" i="1"/>
  <c r="AG68" i="1"/>
  <c r="AE68" i="1"/>
  <c r="AD68" i="1"/>
  <c r="AF66" i="1"/>
  <c r="AG66" i="1"/>
  <c r="AE66" i="1"/>
  <c r="AD66" i="1"/>
  <c r="AF64" i="1"/>
  <c r="AG64" i="1"/>
  <c r="AE64" i="1"/>
  <c r="AD64" i="1"/>
  <c r="AF62" i="1"/>
  <c r="AG62" i="1"/>
  <c r="AE62" i="1"/>
  <c r="AD62" i="1"/>
  <c r="AF60" i="1"/>
  <c r="AG60" i="1"/>
  <c r="AE60" i="1"/>
  <c r="AD60" i="1"/>
  <c r="AF58" i="1"/>
  <c r="AG58" i="1"/>
  <c r="AE58" i="1"/>
  <c r="AD58" i="1"/>
  <c r="AF56" i="1"/>
  <c r="AG56" i="1"/>
  <c r="AE56" i="1"/>
  <c r="AD56" i="1"/>
  <c r="AF54" i="1"/>
  <c r="AD54" i="1"/>
  <c r="AG54" i="1"/>
  <c r="AE54" i="1"/>
  <c r="AF52" i="1"/>
  <c r="AD52" i="1"/>
  <c r="AG52" i="1"/>
  <c r="AE52" i="1"/>
  <c r="D45" i="7"/>
  <c r="D42" i="7"/>
  <c r="D39" i="7"/>
  <c r="D24" i="7"/>
  <c r="D21" i="7"/>
  <c r="D18" i="7"/>
  <c r="D22" i="6"/>
  <c r="B22" i="6"/>
  <c r="E21" i="6"/>
  <c r="B21" i="6"/>
  <c r="F14" i="6"/>
  <c r="F13" i="6"/>
  <c r="F11" i="6"/>
  <c r="C11" i="6"/>
  <c r="F10" i="6"/>
  <c r="C10" i="6"/>
  <c r="F6" i="6"/>
  <c r="F5" i="6"/>
  <c r="AG91" i="1" l="1"/>
  <c r="AE91" i="1"/>
  <c r="AF91" i="1"/>
  <c r="AD91" i="1"/>
  <c r="D9" i="6"/>
  <c r="E8" i="6"/>
  <c r="C8" i="6" s="1"/>
  <c r="J4" i="6"/>
  <c r="C4" i="6"/>
  <c r="J7" i="6"/>
  <c r="C7" i="6"/>
  <c r="C12" i="6"/>
  <c r="F12" i="6" l="1"/>
  <c r="W39" i="6" s="1"/>
  <c r="E9" i="6"/>
  <c r="H8" i="6"/>
  <c r="Y40" i="6"/>
  <c r="I8" i="6"/>
  <c r="Y3" i="6"/>
  <c r="X3" i="6"/>
  <c r="H7" i="6"/>
  <c r="F7" i="6" s="1"/>
  <c r="H4" i="6"/>
  <c r="F4" i="6" s="1"/>
  <c r="C25" i="6" l="1"/>
  <c r="B25" i="6"/>
  <c r="C24" i="6"/>
  <c r="B24" i="6"/>
  <c r="F9" i="6"/>
  <c r="U39" i="6" s="1"/>
  <c r="F8" i="6"/>
  <c r="S39" i="6" s="1"/>
  <c r="C9" i="6"/>
  <c r="D9" i="1" l="1"/>
  <c r="T4" i="6"/>
  <c r="X45" i="6"/>
  <c r="X1" i="6"/>
  <c r="V1" i="6"/>
  <c r="Y1" i="6"/>
  <c r="W1" i="6"/>
  <c r="U1" i="6"/>
  <c r="F3" i="6"/>
  <c r="V42" i="6" s="1"/>
  <c r="C22" i="6" l="1"/>
  <c r="E22" i="6"/>
  <c r="W45" i="6"/>
  <c r="V45" i="6"/>
  <c r="U45" i="6"/>
  <c r="AG46" i="1"/>
  <c r="AF46" i="1"/>
  <c r="E21" i="1" l="1"/>
  <c r="B21" i="1"/>
  <c r="C11" i="1" l="1"/>
  <c r="F5" i="1" l="1"/>
  <c r="F6" i="1"/>
  <c r="F10" i="1"/>
  <c r="F11" i="1"/>
  <c r="F13" i="1"/>
  <c r="F14" i="1"/>
  <c r="D45" i="4"/>
  <c r="D42" i="4"/>
  <c r="D39" i="4"/>
  <c r="D24" i="4"/>
  <c r="D21" i="4"/>
  <c r="D18" i="4"/>
  <c r="U40" i="1" l="1"/>
  <c r="J4" i="1"/>
  <c r="E8" i="1"/>
  <c r="C8" i="1" s="1"/>
  <c r="J7" i="1"/>
  <c r="C12" i="1"/>
  <c r="C10" i="1"/>
  <c r="C7" i="1"/>
  <c r="C4" i="1"/>
  <c r="E9" i="1"/>
  <c r="AC3" i="1" l="1"/>
  <c r="AB3" i="1"/>
  <c r="C9" i="1"/>
  <c r="AC1" i="1" l="1"/>
  <c r="AA1" i="1"/>
  <c r="Y1" i="1"/>
  <c r="AB1" i="1"/>
  <c r="Z1" i="1"/>
  <c r="Y40" i="1"/>
  <c r="Z45" i="1"/>
  <c r="AB45" i="1"/>
  <c r="I8" i="1"/>
  <c r="H8" i="1"/>
  <c r="H4" i="1"/>
  <c r="F4" i="1" s="1"/>
  <c r="H7" i="1"/>
  <c r="F7" i="1" s="1"/>
  <c r="B25" i="1"/>
  <c r="C25" i="1"/>
  <c r="C24" i="1"/>
  <c r="B24" i="1"/>
  <c r="T4" i="1"/>
  <c r="F9" i="1"/>
  <c r="S39" i="1" s="1"/>
  <c r="F12" i="1"/>
  <c r="U39" i="1" s="1"/>
  <c r="AA45" i="1" l="1"/>
  <c r="Y45" i="1"/>
  <c r="F8" i="1"/>
  <c r="Q39" i="1" s="1"/>
  <c r="D22" i="1" l="1"/>
  <c r="B22" i="1"/>
  <c r="F3" i="1"/>
  <c r="V42" i="1" s="1"/>
  <c r="C22" i="1"/>
  <c r="E22" i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#NEW_MEMBER|Member:[TIPUS_DATO].[PARENTH1].[TINGEXCECRI]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46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49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<sst xmlns="http://schemas.openxmlformats.org/spreadsheetml/2006/main" count="665" uniqueCount="149">
  <si>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</si>
  <si>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</si>
  <si>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</si>
  <si>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</si>
  <si>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</si>
  <si>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</si>
  <si>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</si>
  <si>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</si>
  <si>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</si>
  <si>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</si>
  <si>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</si>
  <si>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</si>
  <si>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</si>
  <si>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</si>
  <si>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</si>
  <si>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</si>
  <si>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</si>
  <si>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</si>
  <si>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</si>
  <si>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</si>
  <si>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</si>
  <si>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</si>
  <si>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</si>
  <si>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</si>
  <si>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</si>
  <si>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</si>
  <si>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</si>
  <si>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</si>
  <si>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</si>
  <si>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</si>
  <si>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</si>
  <si>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</si>
  <si>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</si>
  <si>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</si>
  <si>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</si>
  <si>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</si>
  <si>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</si>
  <si>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</si>
  <si>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</si>
  <si>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</si>
  <si>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</si>
  <si>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</si>
  <si>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</si>
  <si>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</si>
  <si>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</si>
  <si>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</si>
  <si>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</si>
  <si>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</si>
  <si>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</si>
  <si>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</si>
  <si>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</si>
  <si>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</si>
  <si>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</si>
  <si>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</si>
  <si>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</si>
  <si>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</si>
  <si>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</si>
  <si>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</si>
  <si>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</si>
  <si>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</si>
  <si>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</si>
  <si>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</si>
  <si>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</si>
  <si>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</si>
  <si>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</si>
  <si>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</si>
  <si>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</si>
  <si>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</si>
  <si>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</si>
  <si>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</si>
  <si>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</si>
  <si>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</si>
  <si>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</si>
  <si>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</si>
  <si>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</si>
  <si>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</si>
  <si>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</si>
  <si>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</si>
  <si>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</si>
  <si>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</si>
  <si>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manual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</si>
  <si>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</si>
  <si>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</si>
  <si>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</si>
  <si>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</si>
  <si>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</si>
  <si>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</si>
  <si>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</si>
  <si>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</si>
  <si>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</si>
  <si>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</si>
  <si>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</si>
  <si>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</si>
  <si>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</si>
  <si>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</si>
  <si>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</si>
  <si>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</si>
  <si>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</si>
  <si>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</si>
  <si>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</si>
  <si>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</si>
  <si>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</si>
  <si>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</si>
  <si>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</si>
  <si>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</si>
  <si>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</si>
  <si>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</si>
  <si>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</si>
  <si>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</si>
  <si>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</si>
  <si>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</si>
  <si>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</si>
  <si>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>ACTUACIO</t>
  </si>
  <si>
    <t>PROGRAMA</t>
  </si>
  <si>
    <t>PRDUMMY</t>
  </si>
  <si>
    <t>ECONÒMIC</t>
  </si>
  <si>
    <t>Variació XXXX</t>
  </si>
  <si>
    <t>Reconeixement RI</t>
  </si>
  <si>
    <t>TINGEXCECRI</t>
  </si>
  <si>
    <t>V1_C</t>
  </si>
  <si>
    <t>Credit Inicial</t>
  </si>
  <si>
    <t>ORGÀNICA</t>
  </si>
  <si>
    <t>ID ORGANIC</t>
  </si>
  <si>
    <t>DESC ORGANIC</t>
  </si>
  <si>
    <t>TIRAANYENS</t>
  </si>
  <si>
    <t>TOTAL</t>
  </si>
  <si>
    <t>VF</t>
  </si>
  <si>
    <t>ECONOMICA</t>
  </si>
  <si>
    <t>FUNCIONAL</t>
  </si>
  <si>
    <t>PROJECTE</t>
  </si>
  <si>
    <t>Variació base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</si>
  <si>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</si>
  <si>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</si>
  <si>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</si>
  <si>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CAPÍTOLS</t>
  </si>
  <si>
    <t>0,00%</t>
  </si>
  <si>
    <t>-13,34%</t>
  </si>
  <si>
    <t>20,23%</t>
  </si>
  <si>
    <t>-64,52%</t>
  </si>
  <si>
    <t>-85,62%</t>
  </si>
  <si>
    <t>-87,99%</t>
  </si>
  <si>
    <t>-80,00%</t>
  </si>
  <si>
    <t>-4,75%</t>
  </si>
  <si>
    <t>168,64%</t>
  </si>
  <si>
    <t>-74,98%</t>
  </si>
  <si>
    <t>-100,00%</t>
  </si>
  <si>
    <t>-99,86%</t>
  </si>
  <si>
    <t>-4,29%</t>
  </si>
  <si>
    <t>-31,74%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</si>
</sst>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0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4" borderId="54" xfId="0" applyNumberFormat="1" applyFont="1" applyFill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5" borderId="58" xfId="0" applyNumberFormat="1" applyFont="1" applyFill="1" applyBorder="1" applyAlignment="1" applyProtection="1">
      <alignment horizontal="center" vertical="center"/>
    </xf>
    <xf numFmtId="4" fontId="2" fillId="16" borderId="59" xfId="0" applyNumberFormat="1" applyFont="1" applyFill="1" applyBorder="1" applyAlignment="1" applyProtection="1">
      <alignment horizontal="left" vertical="center" indent="1"/>
    </xf>
    <xf numFmtId="4" fontId="2" fillId="15" borderId="59" xfId="0" applyNumberFormat="1" applyFont="1" applyFill="1" applyBorder="1" applyAlignment="1" applyProtection="1">
      <alignment horizontal="center" vertical="center"/>
    </xf>
    <xf numFmtId="4" fontId="2" fillId="15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7" borderId="1" xfId="0" applyFill="1" applyBorder="1"/>
    <xf numFmtId="0" fontId="0" fillId="18" borderId="1" xfId="0" applyFill="1" applyBorder="1"/>
    <xf numFmtId="4" fontId="2" fillId="12" borderId="1" xfId="0" applyNumberFormat="1" applyFont="1" applyFill="1" applyBorder="1"/>
    <xf numFmtId="0" fontId="0" fillId="17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9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0" fillId="0" borderId="0" xfId="0" applyNumberFormat="1"/>
    <xf numFmtId="4" fontId="2" fillId="5" borderId="54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1" fillId="2" borderId="64" xfId="0" applyFont="1" applyFill="1" applyBorder="1" applyProtection="1"/>
    <xf numFmtId="0" fontId="2" fillId="4" borderId="65" xfId="0" applyFont="1" applyFill="1" applyBorder="1" applyProtection="1"/>
    <xf numFmtId="0" fontId="2" fillId="0" borderId="22" xfId="0" applyFont="1" applyBorder="1" applyProtection="1"/>
    <xf numFmtId="0" fontId="0" fillId="5" borderId="3" xfId="0" applyFill="1" applyBorder="1" applyProtection="1"/>
    <xf numFmtId="4" fontId="0" fillId="5" borderId="3" xfId="0" applyNumberFormat="1" applyFill="1" applyBorder="1" applyProtection="1"/>
    <xf numFmtId="0" fontId="0" fillId="5" borderId="4" xfId="0" applyFill="1" applyBorder="1" applyProtection="1"/>
    <xf numFmtId="0" fontId="0" fillId="5" borderId="1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4" fontId="7" fillId="5" borderId="54" xfId="0" applyNumberFormat="1" applyFont="1" applyFill="1" applyBorder="1" applyAlignment="1" applyProtection="1">
      <alignment horizontal="right" vertical="center"/>
    </xf>
    <xf numFmtId="0" fontId="0" fillId="5" borderId="3" xfId="0" applyFill="1" applyBorder="1"/>
    <xf numFmtId="4" fontId="0" fillId="5" borderId="3" xfId="0" applyNumberFormat="1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10" borderId="0" xfId="0" applyFill="1"/>
    <xf numFmtId="0" fontId="24" fillId="0" borderId="0" xfId="0" applyFont="1"/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2" fillId="20" borderId="54" xfId="0" applyNumberFormat="1" applyFont="1" applyFill="1" applyBorder="1" applyAlignment="1" applyProtection="1">
      <alignment horizontal="left" vertical="center"/>
      <protection locked="0"/>
    </xf>
    <xf numFmtId="10" fontId="2" fillId="10" borderId="5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center" indent="4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66" xfId="0" applyFont="1" applyBorder="1" applyAlignment="1" applyProtection="1"/>
    <xf numFmtId="0" fontId="20" fillId="0" borderId="67" xfId="0" applyFont="1" applyBorder="1" applyAlignment="1" applyProtection="1"/>
    <xf numFmtId="4" fontId="2" fillId="16" borderId="68" xfId="0" applyNumberFormat="1" applyFont="1" applyFill="1" applyBorder="1" applyAlignment="1" applyProtection="1">
      <alignment horizontal="left" vertical="center" indent="1"/>
    </xf>
    <xf numFmtId="4" fontId="2" fillId="16" borderId="69" xfId="0" applyNumberFormat="1" applyFont="1" applyFill="1" applyBorder="1" applyAlignment="1" applyProtection="1">
      <alignment horizontal="left" vertical="center" indent="1"/>
    </xf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Radio" checked="Checked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checked="Checked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checked="Checked" firstButton="1" fmlaLink="Y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CheckBox" fmlaLink="Z1" lockText="1" noThreeD="1"/>
</file>

<file path=xl/ctrlProps/ctrlProp81.xml><?xml version="1.0" encoding="utf-8"?>
<formControlPr xmlns="http://schemas.microsoft.com/office/spreadsheetml/2009/9/main" objectType="Label" lockText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Label" lockText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2" Type="http://schemas.openxmlformats.org/officeDocument/2006/relationships/image" Target="../media/image17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5" Type="http://schemas.openxmlformats.org/officeDocument/2006/relationships/image" Target="../media/image14.emf"/><Relationship Id="rId4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21.emf"/><Relationship Id="rId1" Type="http://schemas.openxmlformats.org/officeDocument/2006/relationships/image" Target="../media/image22.emf"/><Relationship Id="rId4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198120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45720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45720</xdr:rowOff>
        </xdr:from>
        <xdr:to>
          <xdr:col>2</xdr:col>
          <xdr:colOff>1021080</xdr:colOff>
          <xdr:row>153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132</xdr:row>
          <xdr:rowOff>22860</xdr:rowOff>
        </xdr:from>
        <xdr:to>
          <xdr:col>3</xdr:col>
          <xdr:colOff>4290060</xdr:colOff>
          <xdr:row>132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4172" name="AddedMember2_9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4" name="AddedMember2_10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4176" name="AddedMember2_11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78" name="AddedMember2_1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0" name="AddedMember2_13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4182" name="AddedMember2_14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84" name="AddedMember2_15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4" name="AddedMember2_16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196" name="AddedMember2_17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198" name="AddedMember2_18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126</xdr:row>
          <xdr:rowOff>45720</xdr:rowOff>
        </xdr:from>
        <xdr:to>
          <xdr:col>13</xdr:col>
          <xdr:colOff>266700</xdr:colOff>
          <xdr:row>127</xdr:row>
          <xdr:rowOff>190500</xdr:rowOff>
        </xdr:to>
        <xdr:sp macro="" textlink="">
          <xdr:nvSpPr>
            <xdr:cNvPr id="4200" name="AddedMember2_19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4202" name="AddedMember1_1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130</xdr:row>
          <xdr:rowOff>190500</xdr:rowOff>
        </xdr:to>
        <xdr:sp macro="" textlink="">
          <xdr:nvSpPr>
            <xdr:cNvPr id="4204" name="AddedMember2_20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40</xdr:row>
      <xdr:rowOff>114605</xdr:rowOff>
    </xdr:from>
    <xdr:to>
      <xdr:col>17</xdr:col>
      <xdr:colOff>3809999</xdr:colOff>
      <xdr:row>43</xdr:row>
      <xdr:rowOff>76794</xdr:rowOff>
    </xdr:to>
    <xdr:sp macro="" textlink="">
      <xdr:nvSpPr>
        <xdr:cNvPr id="12" name="11 CuadroTexto"/>
        <xdr:cNvSpPr txBox="1"/>
      </xdr:nvSpPr>
      <xdr:spPr>
        <a:xfrm>
          <a:off x="204107" y="699712"/>
          <a:ext cx="4680858" cy="4928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   Pressupost Inicial</a:t>
          </a:r>
          <a:r>
            <a:rPr lang="es-ES" sz="1800" baseline="0"/>
            <a:t> d'Ingressos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30" name="ReportSubmitControl_1tb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7857</xdr:colOff>
      <xdr:row>40</xdr:row>
      <xdr:rowOff>114605</xdr:rowOff>
    </xdr:from>
    <xdr:to>
      <xdr:col>21</xdr:col>
      <xdr:colOff>815884</xdr:colOff>
      <xdr:row>43</xdr:row>
      <xdr:rowOff>76794</xdr:rowOff>
    </xdr:to>
    <xdr:sp macro="" textlink="">
      <xdr:nvSpPr>
        <xdr:cNvPr id="2" name="1 CuadroTexto"/>
        <xdr:cNvSpPr txBox="1"/>
      </xdr:nvSpPr>
      <xdr:spPr>
        <a:xfrm>
          <a:off x="200025" y="695630"/>
          <a:ext cx="5009000" cy="49558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0" name="ReportSubmitControl_1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1" name="FPMExcelClientSheetOptionstb1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7169" name="cbApplyLevelFormatting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7171" name="obLevelRowFirs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7172" name="obLevelColumnFirst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7173" name="Group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7174" name="obRelativeLevelHierarchy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7175" name="obDatabaseLevelHierarchy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7176" name="cbApplyLevelFromTopToBottom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137160</xdr:rowOff>
        </xdr:from>
        <xdr:to>
          <xdr:col>11</xdr:col>
          <xdr:colOff>1135380</xdr:colOff>
          <xdr:row>28</xdr:row>
          <xdr:rowOff>121920</xdr:rowOff>
        </xdr:to>
        <xdr:sp macro="" textlink="">
          <xdr:nvSpPr>
            <xdr:cNvPr id="7177" name="LVL1tbFormattingByLevel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7178" name="Group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152400</xdr:rowOff>
        </xdr:to>
        <xdr:sp macro="" textlink="">
          <xdr:nvSpPr>
            <xdr:cNvPr id="7179" name="obLevelOuterFirst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</xdr:rowOff>
        </xdr:from>
        <xdr:to>
          <xdr:col>11</xdr:col>
          <xdr:colOff>2103120</xdr:colOff>
          <xdr:row>27</xdr:row>
          <xdr:rowOff>236220</xdr:rowOff>
        </xdr:to>
        <xdr:sp macro="" textlink="">
          <xdr:nvSpPr>
            <xdr:cNvPr id="7180" name="obLevelInnerFirst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29</xdr:row>
          <xdr:rowOff>198120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7181" name="cbUseDefaultLevelFirst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7182" name="cbUseLeafLevelFirst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7183" name="cbUseSpecificLevelFirst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30480</xdr:rowOff>
        </xdr:from>
        <xdr:to>
          <xdr:col>3</xdr:col>
          <xdr:colOff>2125980</xdr:colOff>
          <xdr:row>47</xdr:row>
          <xdr:rowOff>7620</xdr:rowOff>
        </xdr:to>
        <xdr:sp macro="" textlink="">
          <xdr:nvSpPr>
            <xdr:cNvPr id="7184" name="AddLevelFirst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30480</xdr:rowOff>
        </xdr:from>
        <xdr:to>
          <xdr:col>3</xdr:col>
          <xdr:colOff>4297680</xdr:colOff>
          <xdr:row>47</xdr:row>
          <xdr:rowOff>7620</xdr:rowOff>
        </xdr:to>
        <xdr:sp macro="" textlink="">
          <xdr:nvSpPr>
            <xdr:cNvPr id="7185" name="RemoveLevelFirst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144780</xdr:rowOff>
        </xdr:from>
        <xdr:to>
          <xdr:col>11</xdr:col>
          <xdr:colOff>1135380</xdr:colOff>
          <xdr:row>7</xdr:row>
          <xdr:rowOff>137160</xdr:rowOff>
        </xdr:to>
        <xdr:sp macro="" textlink="">
          <xdr:nvSpPr>
            <xdr:cNvPr id="7186" name="LVL2tbFormattingByLevel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7187" name="Group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175260</xdr:rowOff>
        </xdr:to>
        <xdr:sp macro="" textlink="">
          <xdr:nvSpPr>
            <xdr:cNvPr id="7188" name="obLevelOuterSecond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38100</xdr:rowOff>
        </xdr:from>
        <xdr:to>
          <xdr:col>11</xdr:col>
          <xdr:colOff>2103120</xdr:colOff>
          <xdr:row>6</xdr:row>
          <xdr:rowOff>251460</xdr:rowOff>
        </xdr:to>
        <xdr:sp macro="" textlink="">
          <xdr:nvSpPr>
            <xdr:cNvPr id="7189" name="obLevelInnerSecond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9</xdr:row>
          <xdr:rowOff>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7190" name="cbUseDefaultLevelSecond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7191" name="cbUseLeafLevelSecond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7192" name="cbUseSpecificLevelSecond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22860</xdr:rowOff>
        </xdr:from>
        <xdr:to>
          <xdr:col>3</xdr:col>
          <xdr:colOff>2125980</xdr:colOff>
          <xdr:row>26</xdr:row>
          <xdr:rowOff>0</xdr:rowOff>
        </xdr:to>
        <xdr:sp macro="" textlink="">
          <xdr:nvSpPr>
            <xdr:cNvPr id="7193" name="AddLevelSecond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22860</xdr:rowOff>
        </xdr:from>
        <xdr:to>
          <xdr:col>3</xdr:col>
          <xdr:colOff>4297680</xdr:colOff>
          <xdr:row>26</xdr:row>
          <xdr:rowOff>0</xdr:rowOff>
        </xdr:to>
        <xdr:sp macro="" textlink="">
          <xdr:nvSpPr>
            <xdr:cNvPr id="7194" name="RemoveLevelSecond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7195" name="cbApplyMemberFormatting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7196" name="Group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7197" name="obMemberRowFirst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7198" name="obMemberColumnFirst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126</xdr:row>
          <xdr:rowOff>198120</xdr:rowOff>
        </xdr:from>
        <xdr:to>
          <xdr:col>2</xdr:col>
          <xdr:colOff>1021080</xdr:colOff>
          <xdr:row>129</xdr:row>
          <xdr:rowOff>38100</xdr:rowOff>
        </xdr:to>
        <xdr:sp macro="" textlink="">
          <xdr:nvSpPr>
            <xdr:cNvPr id="7199" name="cbApplyCustomMemberDefaultFirst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129</xdr:row>
          <xdr:rowOff>45720</xdr:rowOff>
        </xdr:from>
        <xdr:to>
          <xdr:col>2</xdr:col>
          <xdr:colOff>1021080</xdr:colOff>
          <xdr:row>132</xdr:row>
          <xdr:rowOff>38100</xdr:rowOff>
        </xdr:to>
        <xdr:sp macro="" textlink="">
          <xdr:nvSpPr>
            <xdr:cNvPr id="7200" name="cbApplyCalculatedMemberFirst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133</xdr:row>
          <xdr:rowOff>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7201" name="cbApplyImputableMemberFirst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136</xdr:row>
          <xdr:rowOff>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7202" name="cbApplyLocalMemberFirst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7203" name="cbApplyChangedMemberFirst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45720</xdr:rowOff>
        </xdr:from>
        <xdr:to>
          <xdr:col>2</xdr:col>
          <xdr:colOff>1021080</xdr:colOff>
          <xdr:row>144</xdr:row>
          <xdr:rowOff>0</xdr:rowOff>
        </xdr:to>
        <xdr:sp macro="" textlink="">
          <xdr:nvSpPr>
            <xdr:cNvPr id="7204" name="cbApplySpecificMemberFirst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7205" name="AddMemberFirst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7206" name="cbApplyCustomMemberDefaultSecond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7207" name="cbApplyCalculatedMemberSecond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7208" name="cbApplyImputableMemberSecond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7209" name="cbApplyLocalMemberSecond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7210" name="cbApplyChangedMemberSecond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7211" name="cbApplySpecificMemberSecond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123</xdr:row>
          <xdr:rowOff>22860</xdr:rowOff>
        </xdr:from>
        <xdr:to>
          <xdr:col>3</xdr:col>
          <xdr:colOff>4290060</xdr:colOff>
          <xdr:row>123</xdr:row>
          <xdr:rowOff>266700</xdr:rowOff>
        </xdr:to>
        <xdr:sp macro="" textlink="">
          <xdr:nvSpPr>
            <xdr:cNvPr id="7212" name="AddMemberSecond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7213" name="cbApplyOddEvenFormatting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7214" name="Group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7215" name="obOddEvenRowFirst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7216" name="obOddEvenColumnFirst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7217" name="cbUseOddFirst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7218" name="cbUseEvenFirst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7219" name="cbUseOddSecond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7220" name="cbUseEvenSecond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7221" name="cbApplyPageHeaderFormatting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7222" name="cbUseDefaultPageHeaderFormat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7223" name="cbUseDimensionFormatting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7224" name="AddDimension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7225" name="AddedMember2_1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7226" name="AddedMember2_2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7227" name="AddedMember2_3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7228" name="AddedMember2_4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7229" name="AddedMember2_5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7230" name="AddedMember2_6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7231" name="AddedMember2_7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7232" name="AddedMember2_8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7233" name="AddedMember2_9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7234" name="AddedMember2_10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7235" name="AddedMember2_11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7236" name="AddedMember2_12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7237" name="AddedMember2_13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7238" name="AddedMember2_14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7239" name="AddedMember2_15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144</xdr:row>
          <xdr:rowOff>45720</xdr:rowOff>
        </xdr:from>
        <xdr:to>
          <xdr:col>13</xdr:col>
          <xdr:colOff>266700</xdr:colOff>
          <xdr:row>146</xdr:row>
          <xdr:rowOff>0</xdr:rowOff>
        </xdr:to>
        <xdr:sp macro="" textlink="">
          <xdr:nvSpPr>
            <xdr:cNvPr id="7240" name="AddedMember1_1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148</xdr:row>
          <xdr:rowOff>0</xdr:rowOff>
        </xdr:from>
        <xdr:to>
          <xdr:col>13</xdr:col>
          <xdr:colOff>266700</xdr:colOff>
          <xdr:row>149</xdr:row>
          <xdr:rowOff>0</xdr:rowOff>
        </xdr:to>
        <xdr:sp macro="" textlink="">
          <xdr:nvSpPr>
            <xdr:cNvPr id="7241" name="AddedMember1_2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151</xdr:row>
          <xdr:rowOff>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7242" name="AddedMember1_3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118</xdr:row>
          <xdr:rowOff>190500</xdr:rowOff>
        </xdr:to>
        <xdr:sp macro="" textlink="">
          <xdr:nvSpPr>
            <xdr:cNvPr id="7243" name="AddedMember2_16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120</xdr:row>
          <xdr:rowOff>45720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7244" name="AddedMember2_17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153</xdr:row>
          <xdr:rowOff>45720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7245" name="AddedMember1_4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17" Type="http://schemas.openxmlformats.org/officeDocument/2006/relationships/image" Target="../media/image11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6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12" Type="http://schemas.openxmlformats.org/officeDocument/2006/relationships/control" Target="../activeX/activeX16.xml"/><Relationship Id="rId17" Type="http://schemas.openxmlformats.org/officeDocument/2006/relationships/image" Target="../media/image18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18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3.xml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10" Type="http://schemas.openxmlformats.org/officeDocument/2006/relationships/control" Target="../activeX/activeX15.xml"/><Relationship Id="rId4" Type="http://schemas.openxmlformats.org/officeDocument/2006/relationships/control" Target="../activeX/activeX12.xml"/><Relationship Id="rId9" Type="http://schemas.openxmlformats.org/officeDocument/2006/relationships/image" Target="../media/image14.emf"/><Relationship Id="rId14" Type="http://schemas.openxmlformats.org/officeDocument/2006/relationships/control" Target="../activeX/activeX1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6" Type="http://schemas.openxmlformats.org/officeDocument/2006/relationships/ctrlProp" Target="../ctrlProps/ctrlProp138.xml"/><Relationship Id="rId84" Type="http://schemas.openxmlformats.org/officeDocument/2006/relationships/ctrlProp" Target="../ctrlProps/ctrlProp146.xml"/><Relationship Id="rId7" Type="http://schemas.openxmlformats.org/officeDocument/2006/relationships/image" Target="../media/image20.emf"/><Relationship Id="rId71" Type="http://schemas.openxmlformats.org/officeDocument/2006/relationships/ctrlProp" Target="../ctrlProps/ctrlProp1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image" Target="../media/image22.emf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74" Type="http://schemas.openxmlformats.org/officeDocument/2006/relationships/ctrlProp" Target="../ctrlProps/ctrlProp136.xml"/><Relationship Id="rId79" Type="http://schemas.openxmlformats.org/officeDocument/2006/relationships/ctrlProp" Target="../ctrlProps/ctrlProp141.xml"/><Relationship Id="rId5" Type="http://schemas.openxmlformats.org/officeDocument/2006/relationships/image" Target="../media/image19.emf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19" Type="http://schemas.openxmlformats.org/officeDocument/2006/relationships/ctrlProp" Target="../ctrlProps/ctrlProp81.xml"/><Relationship Id="rId4" Type="http://schemas.openxmlformats.org/officeDocument/2006/relationships/control" Target="../activeX/activeX19.xml"/><Relationship Id="rId9" Type="http://schemas.openxmlformats.org/officeDocument/2006/relationships/image" Target="../media/image21.emf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77" Type="http://schemas.openxmlformats.org/officeDocument/2006/relationships/ctrlProp" Target="../ctrlProps/ctrlProp139.xml"/><Relationship Id="rId8" Type="http://schemas.openxmlformats.org/officeDocument/2006/relationships/control" Target="../activeX/activeX21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80" Type="http://schemas.openxmlformats.org/officeDocument/2006/relationships/ctrlProp" Target="../ctrlProps/ctrlProp142.xml"/><Relationship Id="rId85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Relationship Id="rId75" Type="http://schemas.openxmlformats.org/officeDocument/2006/relationships/ctrlProp" Target="../ctrlProps/ctrlProp137.xml"/><Relationship Id="rId83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0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ontrol" Target="../activeX/activeX22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73" Type="http://schemas.openxmlformats.org/officeDocument/2006/relationships/ctrlProp" Target="../ctrlProps/ctrlProp135.xml"/><Relationship Id="rId78" Type="http://schemas.openxmlformats.org/officeDocument/2006/relationships/ctrlProp" Target="../ctrlProps/ctrlProp140.xml"/><Relationship Id="rId81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2"/>
  <sheetViews>
    <sheetView showGridLines="0" topLeftCell="A4" zoomScale="85" zoomScaleNormal="85" workbookViewId="0">
      <selection activeCell="H155" sqref="H155"/>
    </sheetView>
  </sheetViews>
  <sheetFormatPr baseColWidth="10" defaultColWidth="11.44140625" defaultRowHeight="13.8" x14ac:dyDescent="0.25"/>
  <cols>
    <col min="1" max="1" width="1.6640625" style="34" customWidth="1"/>
    <col min="2" max="2" width="12.6640625" style="34" customWidth="1"/>
    <col min="3" max="3" width="15.6640625" style="34" customWidth="1"/>
    <col min="4" max="4" width="64.6640625" style="34" customWidth="1"/>
    <col min="5" max="5" width="3.33203125" style="34" customWidth="1"/>
    <col min="6" max="6" width="15.44140625" style="34" bestFit="1" customWidth="1"/>
    <col min="7" max="7" width="3.33203125" style="34" customWidth="1"/>
    <col min="8" max="8" width="30.6640625" style="34" customWidth="1"/>
    <col min="9" max="9" width="3.33203125" style="34" customWidth="1"/>
    <col min="10" max="10" width="14.33203125" style="34" customWidth="1"/>
    <col min="11" max="11" width="3.33203125" style="34" customWidth="1"/>
    <col min="12" max="12" width="36.6640625" style="34" customWidth="1"/>
    <col min="13" max="13" width="2.33203125" style="34" customWidth="1"/>
    <col min="14" max="14" width="8.6640625" style="34" customWidth="1"/>
    <col min="15" max="15" width="90.6640625" style="34" customWidth="1"/>
    <col min="16" max="25" width="11.44140625" style="34"/>
    <col min="26" max="26" width="21.109375" style="34" bestFit="1" customWidth="1"/>
    <col min="27" max="16384" width="11.44140625" style="34"/>
  </cols>
  <sheetData>
    <row r="1" spans="1:26" ht="42" customHeight="1" x14ac:dyDescent="0.25">
      <c r="A1" s="35"/>
      <c r="B1" s="234" t="s">
        <v>37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3">
        <v>1</v>
      </c>
      <c r="Z1" s="33" t="b">
        <v>0</v>
      </c>
    </row>
    <row r="2" spans="1:26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6" ht="15.75" customHeight="1" x14ac:dyDescent="0.25">
      <c r="A3" s="35"/>
      <c r="B3" s="36" t="s">
        <v>38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6" ht="18" customHeight="1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26" ht="28.35" customHeight="1" x14ac:dyDescent="0.25">
      <c r="A5" s="35"/>
      <c r="B5" s="235" t="s">
        <v>39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66" t="s">
        <v>62</v>
      </c>
    </row>
    <row r="6" spans="1:26" ht="28.35" customHeight="1" x14ac:dyDescent="0.25">
      <c r="A6" s="35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67" t="s">
        <v>63</v>
      </c>
    </row>
    <row r="7" spans="1:26" ht="21.75" customHeight="1" x14ac:dyDescent="0.25">
      <c r="A7" s="35"/>
      <c r="B7" s="220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7"/>
      <c r="O7" s="207" t="s">
        <v>65</v>
      </c>
    </row>
    <row r="8" spans="1:26" ht="18" customHeight="1" x14ac:dyDescent="0.25">
      <c r="A8" s="35"/>
      <c r="B8" s="221"/>
      <c r="C8" s="46"/>
      <c r="D8" s="46"/>
      <c r="E8" s="46"/>
      <c r="F8" s="46"/>
      <c r="G8" s="46"/>
      <c r="H8" s="46"/>
      <c r="I8" s="46"/>
      <c r="J8" s="46"/>
      <c r="K8" s="46"/>
      <c r="L8" s="47"/>
      <c r="O8" s="207"/>
    </row>
    <row r="9" spans="1:26" ht="17.100000000000001" customHeight="1" x14ac:dyDescent="0.25">
      <c r="A9" s="35"/>
      <c r="B9" s="221"/>
      <c r="C9" s="38"/>
      <c r="D9" s="39"/>
      <c r="E9" s="211" t="s">
        <v>40</v>
      </c>
      <c r="F9" s="212"/>
      <c r="G9" s="213"/>
      <c r="H9" s="37" t="s">
        <v>41</v>
      </c>
      <c r="I9" s="211" t="s">
        <v>42</v>
      </c>
      <c r="J9" s="212"/>
      <c r="K9" s="213"/>
      <c r="L9" s="48" t="s">
        <v>41</v>
      </c>
      <c r="O9" s="207"/>
    </row>
    <row r="10" spans="1:26" ht="5.0999999999999996" customHeight="1" x14ac:dyDescent="0.25">
      <c r="A10" s="35"/>
      <c r="B10" s="221"/>
      <c r="C10" s="208"/>
      <c r="D10" s="46"/>
      <c r="E10" s="49"/>
      <c r="F10" s="49"/>
      <c r="G10" s="49"/>
      <c r="H10" s="42"/>
      <c r="I10" s="49"/>
      <c r="J10" s="49"/>
      <c r="K10" s="49"/>
      <c r="L10" s="47"/>
      <c r="O10" s="207"/>
    </row>
    <row r="11" spans="1:26" ht="15.75" customHeight="1" x14ac:dyDescent="0.25">
      <c r="A11" s="35"/>
      <c r="B11" s="221"/>
      <c r="C11" s="209"/>
      <c r="D11" s="50" t="s">
        <v>44</v>
      </c>
      <c r="E11" s="49"/>
      <c r="F11" s="85">
        <v>10000</v>
      </c>
      <c r="G11" s="49"/>
      <c r="H11" s="43" t="s">
        <v>45</v>
      </c>
      <c r="I11" s="49"/>
      <c r="J11" s="52" t="s">
        <v>46</v>
      </c>
      <c r="K11" s="49"/>
      <c r="L11" s="53" t="s">
        <v>45</v>
      </c>
      <c r="O11" s="207"/>
    </row>
    <row r="12" spans="1:26" ht="5.0999999999999996" customHeight="1" x14ac:dyDescent="0.25">
      <c r="A12" s="35"/>
      <c r="B12" s="221"/>
      <c r="C12" s="210"/>
      <c r="D12" s="40"/>
      <c r="E12" s="41"/>
      <c r="F12" s="41"/>
      <c r="G12" s="41"/>
      <c r="H12" s="39"/>
      <c r="I12" s="41"/>
      <c r="J12" s="41"/>
      <c r="K12" s="41"/>
      <c r="L12" s="54"/>
      <c r="O12" s="207"/>
    </row>
    <row r="13" spans="1:26" ht="5.0999999999999996" customHeight="1" x14ac:dyDescent="0.25">
      <c r="A13" s="35"/>
      <c r="B13" s="221"/>
      <c r="C13" s="209"/>
      <c r="D13" s="46"/>
      <c r="E13" s="49"/>
      <c r="F13" s="49"/>
      <c r="G13" s="49"/>
      <c r="H13" s="44"/>
      <c r="I13" s="49"/>
      <c r="J13" s="49"/>
      <c r="K13" s="49"/>
      <c r="L13" s="47"/>
      <c r="O13" s="207"/>
    </row>
    <row r="14" spans="1:26" ht="15.75" customHeight="1" x14ac:dyDescent="0.25">
      <c r="A14" s="35"/>
      <c r="B14" s="221"/>
      <c r="C14" s="209"/>
      <c r="D14" s="50" t="s">
        <v>47</v>
      </c>
      <c r="E14" s="49"/>
      <c r="F14" s="51">
        <v>10000</v>
      </c>
      <c r="G14" s="49"/>
      <c r="H14" s="43" t="s">
        <v>45</v>
      </c>
      <c r="I14" s="49"/>
      <c r="J14" s="52" t="s">
        <v>46</v>
      </c>
      <c r="K14" s="49"/>
      <c r="L14" s="53" t="s">
        <v>45</v>
      </c>
      <c r="O14" s="207"/>
    </row>
    <row r="15" spans="1:26" ht="5.0999999999999996" customHeight="1" x14ac:dyDescent="0.25">
      <c r="A15" s="35"/>
      <c r="B15" s="221"/>
      <c r="C15" s="210"/>
      <c r="D15" s="40"/>
      <c r="E15" s="41"/>
      <c r="F15" s="41"/>
      <c r="G15" s="41"/>
      <c r="H15" s="39"/>
      <c r="I15" s="41"/>
      <c r="J15" s="41"/>
      <c r="K15" s="41"/>
      <c r="L15" s="54"/>
      <c r="O15" s="207"/>
    </row>
    <row r="16" spans="1:26" ht="11.1" customHeight="1" x14ac:dyDescent="0.25">
      <c r="A16" s="35"/>
      <c r="B16" s="221"/>
      <c r="C16" s="209"/>
      <c r="D16" s="233" t="s">
        <v>48</v>
      </c>
      <c r="E16" s="49"/>
      <c r="F16" s="49"/>
      <c r="G16" s="49"/>
      <c r="H16" s="44"/>
      <c r="I16" s="49"/>
      <c r="J16" s="49"/>
      <c r="K16" s="49"/>
      <c r="L16" s="47"/>
      <c r="O16" s="207"/>
    </row>
    <row r="17" spans="1:15" ht="11.1" customHeight="1" x14ac:dyDescent="0.25">
      <c r="A17" s="35"/>
      <c r="B17" s="221"/>
      <c r="C17" s="209"/>
      <c r="D17" s="233"/>
      <c r="E17" s="49"/>
      <c r="F17" s="49"/>
      <c r="G17" s="49"/>
      <c r="H17" s="44"/>
      <c r="I17" s="49"/>
      <c r="J17" s="49"/>
      <c r="K17" s="49"/>
      <c r="L17" s="47"/>
      <c r="O17" s="207"/>
    </row>
    <row r="18" spans="1:15" ht="15.75" customHeight="1" x14ac:dyDescent="0.25">
      <c r="A18" s="35"/>
      <c r="B18" s="221"/>
      <c r="C18" s="45"/>
      <c r="D18" s="55" t="str">
        <f>IF(Y1=2, "Nivel 1", IF(Z1=TRUE, IF(A26-1=0, "Nivel inferior","Nivel inferior -"&amp;(A26-1)), "Nivel 1"))</f>
        <v>Nivel 1</v>
      </c>
      <c r="E18" s="49"/>
      <c r="F18" s="51">
        <v>10000</v>
      </c>
      <c r="G18" s="49"/>
      <c r="H18" s="43" t="s">
        <v>45</v>
      </c>
      <c r="I18" s="49"/>
      <c r="J18" s="52" t="s">
        <v>46</v>
      </c>
      <c r="K18" s="49"/>
      <c r="L18" s="53" t="s">
        <v>45</v>
      </c>
      <c r="O18" s="207"/>
    </row>
    <row r="19" spans="1:15" ht="5.0999999999999996" customHeight="1" x14ac:dyDescent="0.25">
      <c r="A19" s="35"/>
      <c r="B19" s="221"/>
      <c r="C19" s="45"/>
      <c r="D19" s="40"/>
      <c r="E19" s="41"/>
      <c r="F19" s="41"/>
      <c r="G19" s="41"/>
      <c r="H19" s="39"/>
      <c r="I19" s="41"/>
      <c r="J19" s="41"/>
      <c r="K19" s="41"/>
      <c r="L19" s="54"/>
      <c r="O19" s="207"/>
    </row>
    <row r="20" spans="1:15" ht="5.0999999999999996" customHeight="1" x14ac:dyDescent="0.3">
      <c r="A20" s="35"/>
      <c r="B20" s="221"/>
      <c r="C20" s="45"/>
      <c r="D20" s="46"/>
      <c r="E20" s="49"/>
      <c r="F20" s="49"/>
      <c r="G20" s="49"/>
      <c r="H20" s="44"/>
      <c r="I20" s="49"/>
      <c r="J20" s="49"/>
      <c r="K20" s="49"/>
      <c r="L20" s="47"/>
      <c r="O20" s="68"/>
    </row>
    <row r="21" spans="1:15" ht="15.75" customHeight="1" x14ac:dyDescent="0.25">
      <c r="A21" s="35"/>
      <c r="B21" s="221"/>
      <c r="C21" s="45"/>
      <c r="D21" s="56" t="str">
        <f>IF(Y1=2, "Nivel 2", IF(Z1=TRUE, IF(A26-2=0, "Nivel inferior","Nivel inferior -"&amp;(A26-2)), "Nivel 2"))</f>
        <v>Nivel 2</v>
      </c>
      <c r="E21" s="49"/>
      <c r="F21" s="51">
        <v>10000</v>
      </c>
      <c r="G21" s="49"/>
      <c r="H21" s="43" t="s">
        <v>45</v>
      </c>
      <c r="I21" s="49"/>
      <c r="J21" s="52" t="s">
        <v>46</v>
      </c>
      <c r="K21" s="49"/>
      <c r="L21" s="53" t="s">
        <v>45</v>
      </c>
      <c r="O21" s="69" t="s">
        <v>66</v>
      </c>
    </row>
    <row r="22" spans="1:15" ht="5.0999999999999996" customHeight="1" x14ac:dyDescent="0.25">
      <c r="A22" s="35"/>
      <c r="B22" s="221"/>
      <c r="C22" s="45"/>
      <c r="D22" s="40"/>
      <c r="E22" s="41"/>
      <c r="F22" s="41"/>
      <c r="G22" s="41"/>
      <c r="H22" s="39"/>
      <c r="I22" s="41"/>
      <c r="J22" s="41"/>
      <c r="K22" s="41"/>
      <c r="L22" s="54"/>
      <c r="O22" s="207" t="s">
        <v>67</v>
      </c>
    </row>
    <row r="23" spans="1:15" ht="5.0999999999999996" customHeight="1" x14ac:dyDescent="0.25">
      <c r="A23" s="35"/>
      <c r="B23" s="221"/>
      <c r="C23" s="45"/>
      <c r="D23" s="46"/>
      <c r="E23" s="49"/>
      <c r="F23" s="49"/>
      <c r="G23" s="49"/>
      <c r="H23" s="44"/>
      <c r="I23" s="49"/>
      <c r="J23" s="49"/>
      <c r="K23" s="49"/>
      <c r="L23" s="47"/>
      <c r="O23" s="207"/>
    </row>
    <row r="24" spans="1:15" ht="15.75" customHeight="1" x14ac:dyDescent="0.25">
      <c r="A24" s="35"/>
      <c r="B24" s="221"/>
      <c r="C24" s="45"/>
      <c r="D24" s="57" t="str">
        <f>IF(Y1=2, "Nivel 3", IF(Z1=TRUE, IF(A26-3=0, "Nivel inferior","Nivel inferior -"&amp;(A26-3)), "Nivel 3"))</f>
        <v>Nivel 3</v>
      </c>
      <c r="E24" s="49"/>
      <c r="F24" s="51">
        <v>10000</v>
      </c>
      <c r="G24" s="49"/>
      <c r="H24" s="43" t="s">
        <v>45</v>
      </c>
      <c r="I24" s="49"/>
      <c r="J24" s="52" t="s">
        <v>46</v>
      </c>
      <c r="K24" s="49"/>
      <c r="L24" s="53" t="s">
        <v>45</v>
      </c>
      <c r="O24" s="207"/>
    </row>
    <row r="25" spans="1:15" ht="5.0999999999999996" customHeight="1" x14ac:dyDescent="0.25">
      <c r="A25" s="35"/>
      <c r="B25" s="221"/>
      <c r="C25" s="45"/>
      <c r="D25" s="40"/>
      <c r="E25" s="41"/>
      <c r="F25" s="41"/>
      <c r="G25" s="41"/>
      <c r="H25" s="39"/>
      <c r="I25" s="41"/>
      <c r="J25" s="41"/>
      <c r="K25" s="41"/>
      <c r="L25" s="54"/>
      <c r="O25" s="207"/>
    </row>
    <row r="26" spans="1:15" ht="21.9" customHeight="1" x14ac:dyDescent="0.25">
      <c r="A26" s="35">
        <v>3</v>
      </c>
      <c r="B26" s="221"/>
      <c r="C26" s="45"/>
      <c r="D26" s="46"/>
      <c r="E26" s="46"/>
      <c r="F26" s="46"/>
      <c r="G26" s="46"/>
      <c r="H26" s="46"/>
      <c r="I26" s="46"/>
      <c r="J26" s="46"/>
      <c r="K26" s="46"/>
      <c r="L26" s="47"/>
      <c r="O26" s="207"/>
    </row>
    <row r="27" spans="1:15" ht="5.0999999999999996" customHeight="1" thickBot="1" x14ac:dyDescent="0.3">
      <c r="A27" s="35"/>
      <c r="B27" s="231"/>
      <c r="C27" s="58"/>
      <c r="D27" s="59"/>
      <c r="E27" s="59"/>
      <c r="F27" s="59"/>
      <c r="G27" s="59"/>
      <c r="H27" s="59"/>
      <c r="I27" s="59"/>
      <c r="J27" s="59"/>
      <c r="K27" s="59"/>
      <c r="L27" s="60"/>
      <c r="O27" s="207"/>
    </row>
    <row r="28" spans="1:15" ht="21.75" customHeight="1" x14ac:dyDescent="0.25">
      <c r="A28" s="35"/>
      <c r="B28" s="232" t="s">
        <v>49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O28" s="207"/>
    </row>
    <row r="29" spans="1:15" ht="18" customHeight="1" x14ac:dyDescent="0.25">
      <c r="A29" s="35"/>
      <c r="B29" s="221"/>
      <c r="C29" s="46"/>
      <c r="D29" s="46"/>
      <c r="E29" s="46"/>
      <c r="F29" s="46"/>
      <c r="G29" s="46"/>
      <c r="H29" s="46"/>
      <c r="I29" s="46"/>
      <c r="J29" s="46"/>
      <c r="K29" s="46"/>
      <c r="L29" s="47"/>
      <c r="O29" s="207"/>
    </row>
    <row r="30" spans="1:15" ht="17.100000000000001" customHeight="1" x14ac:dyDescent="0.3">
      <c r="A30" s="35"/>
      <c r="B30" s="221"/>
      <c r="C30" s="38"/>
      <c r="D30" s="39"/>
      <c r="E30" s="211" t="s">
        <v>40</v>
      </c>
      <c r="F30" s="212"/>
      <c r="G30" s="213"/>
      <c r="H30" s="37" t="s">
        <v>41</v>
      </c>
      <c r="I30" s="211" t="s">
        <v>42</v>
      </c>
      <c r="J30" s="212"/>
      <c r="K30" s="213"/>
      <c r="L30" s="48" t="s">
        <v>41</v>
      </c>
      <c r="O30" s="68"/>
    </row>
    <row r="31" spans="1:15" ht="5.0999999999999996" customHeight="1" x14ac:dyDescent="0.3">
      <c r="A31" s="35"/>
      <c r="B31" s="221"/>
      <c r="C31" s="208"/>
      <c r="D31" s="46"/>
      <c r="E31" s="49"/>
      <c r="F31" s="49"/>
      <c r="G31" s="49"/>
      <c r="H31" s="42"/>
      <c r="I31" s="49"/>
      <c r="J31" s="49"/>
      <c r="K31" s="49"/>
      <c r="L31" s="47"/>
      <c r="O31" s="68"/>
    </row>
    <row r="32" spans="1:15" ht="15.75" customHeight="1" x14ac:dyDescent="0.25">
      <c r="A32" s="35"/>
      <c r="B32" s="221"/>
      <c r="C32" s="209"/>
      <c r="D32" s="50" t="s">
        <v>44</v>
      </c>
      <c r="E32" s="49"/>
      <c r="F32" s="51">
        <v>10000</v>
      </c>
      <c r="G32" s="49"/>
      <c r="H32" s="43" t="s">
        <v>45</v>
      </c>
      <c r="I32" s="49"/>
      <c r="J32" s="52" t="s">
        <v>46</v>
      </c>
      <c r="K32" s="49"/>
      <c r="L32" s="53" t="s">
        <v>45</v>
      </c>
      <c r="O32" s="70" t="s">
        <v>64</v>
      </c>
    </row>
    <row r="33" spans="1:15" ht="5.0999999999999996" customHeight="1" x14ac:dyDescent="0.25">
      <c r="A33" s="35"/>
      <c r="B33" s="221"/>
      <c r="C33" s="210"/>
      <c r="D33" s="40"/>
      <c r="E33" s="41"/>
      <c r="F33" s="41"/>
      <c r="G33" s="41"/>
      <c r="H33" s="39"/>
      <c r="I33" s="41"/>
      <c r="J33" s="41"/>
      <c r="K33" s="41"/>
      <c r="L33" s="54"/>
      <c r="O33" s="207" t="s">
        <v>68</v>
      </c>
    </row>
    <row r="34" spans="1:15" ht="5.0999999999999996" customHeight="1" x14ac:dyDescent="0.25">
      <c r="A34" s="35"/>
      <c r="B34" s="221"/>
      <c r="C34" s="209"/>
      <c r="D34" s="46"/>
      <c r="E34" s="49"/>
      <c r="F34" s="49"/>
      <c r="G34" s="49"/>
      <c r="H34" s="44"/>
      <c r="I34" s="49"/>
      <c r="J34" s="49"/>
      <c r="K34" s="49"/>
      <c r="L34" s="47"/>
      <c r="O34" s="207"/>
    </row>
    <row r="35" spans="1:15" ht="15.75" customHeight="1" x14ac:dyDescent="0.25">
      <c r="A35" s="35"/>
      <c r="B35" s="221"/>
      <c r="C35" s="209"/>
      <c r="D35" s="50" t="s">
        <v>47</v>
      </c>
      <c r="E35" s="49"/>
      <c r="F35" s="51">
        <v>10000</v>
      </c>
      <c r="G35" s="49"/>
      <c r="H35" s="43" t="s">
        <v>45</v>
      </c>
      <c r="I35" s="49"/>
      <c r="J35" s="52" t="s">
        <v>46</v>
      </c>
      <c r="K35" s="49"/>
      <c r="L35" s="53" t="s">
        <v>45</v>
      </c>
      <c r="O35" s="207"/>
    </row>
    <row r="36" spans="1:15" ht="5.0999999999999996" customHeight="1" x14ac:dyDescent="0.25">
      <c r="A36" s="35"/>
      <c r="B36" s="221"/>
      <c r="C36" s="210"/>
      <c r="D36" s="40"/>
      <c r="E36" s="41"/>
      <c r="F36" s="41"/>
      <c r="G36" s="41"/>
      <c r="H36" s="39"/>
      <c r="I36" s="41"/>
      <c r="J36" s="41"/>
      <c r="K36" s="41"/>
      <c r="L36" s="54"/>
      <c r="O36" s="207"/>
    </row>
    <row r="37" spans="1:15" ht="11.1" customHeight="1" x14ac:dyDescent="0.25">
      <c r="A37" s="35"/>
      <c r="B37" s="221"/>
      <c r="C37" s="209"/>
      <c r="D37" s="233" t="s">
        <v>48</v>
      </c>
      <c r="E37" s="49"/>
      <c r="F37" s="49"/>
      <c r="G37" s="49"/>
      <c r="H37" s="44"/>
      <c r="I37" s="49"/>
      <c r="J37" s="49"/>
      <c r="K37" s="49"/>
      <c r="L37" s="47"/>
      <c r="O37" s="207"/>
    </row>
    <row r="38" spans="1:15" ht="11.1" customHeight="1" x14ac:dyDescent="0.25">
      <c r="A38" s="35"/>
      <c r="B38" s="221"/>
      <c r="C38" s="209"/>
      <c r="D38" s="233"/>
      <c r="E38" s="49"/>
      <c r="F38" s="49"/>
      <c r="G38" s="49"/>
      <c r="H38" s="44"/>
      <c r="I38" s="49"/>
      <c r="J38" s="49"/>
      <c r="K38" s="49"/>
      <c r="L38" s="47"/>
      <c r="O38" s="207"/>
    </row>
    <row r="39" spans="1:15" ht="15.75" customHeight="1" x14ac:dyDescent="0.25">
      <c r="A39" s="35"/>
      <c r="B39" s="221"/>
      <c r="C39" s="45"/>
      <c r="D39" s="55" t="str">
        <f>IF(Y1=2, "Nivel 1", IF(Z1=TRUE, IF(A47-1=0, "Nivel inferior","Nivel inferior -"&amp;(A47-1)), "Nivel 1"))</f>
        <v>Nivel 1</v>
      </c>
      <c r="E39" s="49"/>
      <c r="F39" s="51">
        <v>10000</v>
      </c>
      <c r="G39" s="49"/>
      <c r="H39" s="43" t="s">
        <v>45</v>
      </c>
      <c r="I39" s="49"/>
      <c r="J39" s="52" t="s">
        <v>46</v>
      </c>
      <c r="K39" s="49"/>
      <c r="L39" s="53" t="s">
        <v>45</v>
      </c>
      <c r="O39" s="207"/>
    </row>
    <row r="40" spans="1:15" ht="5.0999999999999996" customHeight="1" x14ac:dyDescent="0.3">
      <c r="A40" s="35"/>
      <c r="B40" s="221"/>
      <c r="C40" s="45"/>
      <c r="D40" s="40"/>
      <c r="E40" s="41"/>
      <c r="F40" s="41"/>
      <c r="G40" s="41"/>
      <c r="H40" s="39"/>
      <c r="I40" s="41"/>
      <c r="J40" s="41"/>
      <c r="K40" s="41"/>
      <c r="L40" s="54"/>
      <c r="O40" s="71"/>
    </row>
    <row r="41" spans="1:15" ht="5.0999999999999996" customHeight="1" x14ac:dyDescent="0.25">
      <c r="A41" s="35"/>
      <c r="B41" s="221"/>
      <c r="C41" s="45"/>
      <c r="D41" s="46"/>
      <c r="E41" s="49"/>
      <c r="F41" s="49"/>
      <c r="G41" s="49"/>
      <c r="H41" s="44"/>
      <c r="I41" s="49"/>
      <c r="J41" s="49"/>
      <c r="K41" s="49"/>
      <c r="L41" s="47"/>
    </row>
    <row r="42" spans="1:15" ht="15.75" customHeight="1" x14ac:dyDescent="0.25">
      <c r="A42" s="35"/>
      <c r="B42" s="221"/>
      <c r="C42" s="45"/>
      <c r="D42" s="56" t="str">
        <f>IF(Y1=2, "Nivel 2", IF(Z1=TRUE, IF(A47-2=0, "Nivel inferior","Nivel inferior -"&amp;(A47-2)), "Nivel 2"))</f>
        <v>Nivel 2</v>
      </c>
      <c r="E42" s="49"/>
      <c r="F42" s="51">
        <v>10000</v>
      </c>
      <c r="G42" s="49"/>
      <c r="H42" s="43" t="s">
        <v>45</v>
      </c>
      <c r="I42" s="49"/>
      <c r="J42" s="52" t="s">
        <v>46</v>
      </c>
      <c r="K42" s="49"/>
      <c r="L42" s="53" t="s">
        <v>45</v>
      </c>
    </row>
    <row r="43" spans="1:15" ht="5.0999999999999996" customHeight="1" x14ac:dyDescent="0.25">
      <c r="A43" s="35"/>
      <c r="B43" s="221"/>
      <c r="C43" s="45"/>
      <c r="D43" s="40"/>
      <c r="E43" s="41"/>
      <c r="F43" s="41"/>
      <c r="G43" s="41"/>
      <c r="H43" s="39"/>
      <c r="I43" s="41"/>
      <c r="J43" s="41"/>
      <c r="K43" s="41"/>
      <c r="L43" s="54"/>
    </row>
    <row r="44" spans="1:15" ht="5.0999999999999996" customHeight="1" x14ac:dyDescent="0.25">
      <c r="A44" s="35"/>
      <c r="B44" s="221"/>
      <c r="C44" s="45"/>
      <c r="D44" s="46"/>
      <c r="E44" s="49"/>
      <c r="F44" s="49"/>
      <c r="G44" s="49"/>
      <c r="H44" s="44"/>
      <c r="I44" s="49"/>
      <c r="J44" s="49"/>
      <c r="K44" s="49"/>
      <c r="L44" s="47"/>
    </row>
    <row r="45" spans="1:15" ht="15.75" customHeight="1" x14ac:dyDescent="0.25">
      <c r="A45" s="35"/>
      <c r="B45" s="221"/>
      <c r="C45" s="45"/>
      <c r="D45" s="57" t="str">
        <f>IF(Y1=2, "Nivel 3", IF(Z1=TRUE, IF(A47-3=0, "Nivel inferior","Nivel inferior -"&amp;(A47-3)), "Nivel 3"))</f>
        <v>Nivel 3</v>
      </c>
      <c r="E45" s="49"/>
      <c r="F45" s="51">
        <v>10000</v>
      </c>
      <c r="G45" s="49"/>
      <c r="H45" s="43" t="s">
        <v>45</v>
      </c>
      <c r="I45" s="49"/>
      <c r="J45" s="52" t="s">
        <v>46</v>
      </c>
      <c r="K45" s="49"/>
      <c r="L45" s="53" t="s">
        <v>45</v>
      </c>
    </row>
    <row r="46" spans="1:15" ht="5.0999999999999996" customHeight="1" x14ac:dyDescent="0.25">
      <c r="A46" s="35"/>
      <c r="B46" s="221"/>
      <c r="C46" s="45"/>
      <c r="D46" s="40"/>
      <c r="E46" s="41"/>
      <c r="F46" s="41"/>
      <c r="G46" s="41"/>
      <c r="H46" s="39"/>
      <c r="I46" s="41"/>
      <c r="J46" s="41"/>
      <c r="K46" s="41"/>
      <c r="L46" s="54"/>
    </row>
    <row r="47" spans="1:15" ht="21.9" customHeight="1" x14ac:dyDescent="0.25">
      <c r="A47" s="35">
        <v>3</v>
      </c>
      <c r="B47" s="221"/>
      <c r="C47" s="45"/>
      <c r="D47" s="46"/>
      <c r="E47" s="46"/>
      <c r="F47" s="46"/>
      <c r="G47" s="46"/>
      <c r="H47" s="46"/>
      <c r="I47" s="46"/>
      <c r="J47" s="46"/>
      <c r="K47" s="46"/>
      <c r="L47" s="47"/>
    </row>
    <row r="48" spans="1:15" ht="5.0999999999999996" customHeight="1" thickBot="1" x14ac:dyDescent="0.3">
      <c r="A48" s="35"/>
      <c r="B48" s="231"/>
      <c r="C48" s="58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24.6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" customHeight="1" thickBo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28.35" customHeight="1" x14ac:dyDescent="0.25">
      <c r="A52" s="35"/>
      <c r="B52" s="214" t="s">
        <v>50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35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35"/>
      <c r="B54" s="232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35"/>
      <c r="B55" s="221"/>
      <c r="C55" s="38"/>
      <c r="D55" s="39"/>
      <c r="E55" s="211" t="s">
        <v>40</v>
      </c>
      <c r="F55" s="212"/>
      <c r="G55" s="213"/>
      <c r="H55" s="37" t="s">
        <v>41</v>
      </c>
      <c r="I55" s="211" t="s">
        <v>42</v>
      </c>
      <c r="J55" s="212"/>
      <c r="K55" s="213"/>
      <c r="L55" s="48" t="s">
        <v>41</v>
      </c>
    </row>
    <row r="56" spans="1:12" ht="5.0999999999999996" customHeight="1" x14ac:dyDescent="0.25">
      <c r="A56" s="35"/>
      <c r="B56" s="221"/>
      <c r="C56" s="208"/>
      <c r="D56" s="46"/>
      <c r="E56" s="49"/>
      <c r="F56" s="49"/>
      <c r="G56" s="49"/>
      <c r="H56" s="42"/>
      <c r="I56" s="49"/>
      <c r="J56" s="49"/>
      <c r="K56" s="49"/>
      <c r="L56" s="47"/>
    </row>
    <row r="57" spans="1:12" ht="15.9" customHeight="1" x14ac:dyDescent="0.25">
      <c r="A57" s="35"/>
      <c r="B57" s="221"/>
      <c r="C57" s="209"/>
      <c r="D57" s="50" t="s">
        <v>51</v>
      </c>
      <c r="E57" s="49"/>
      <c r="F57" s="51">
        <v>10000</v>
      </c>
      <c r="G57" s="49"/>
      <c r="H57" s="43" t="s">
        <v>45</v>
      </c>
      <c r="I57" s="49"/>
      <c r="J57" s="52" t="s">
        <v>46</v>
      </c>
      <c r="K57" s="49"/>
      <c r="L57" s="53" t="s">
        <v>45</v>
      </c>
    </row>
    <row r="58" spans="1:12" ht="5.0999999999999996" customHeight="1" x14ac:dyDescent="0.25">
      <c r="A58" s="35"/>
      <c r="B58" s="221"/>
      <c r="C58" s="210"/>
      <c r="D58" s="40"/>
      <c r="E58" s="41"/>
      <c r="F58" s="41"/>
      <c r="G58" s="41"/>
      <c r="H58" s="39"/>
      <c r="I58" s="41"/>
      <c r="J58" s="41"/>
      <c r="K58" s="41"/>
      <c r="L58" s="54"/>
    </row>
    <row r="59" spans="1:12" ht="5.0999999999999996" customHeight="1" x14ac:dyDescent="0.25">
      <c r="A59" s="35"/>
      <c r="B59" s="221"/>
      <c r="C59" s="209"/>
      <c r="D59" s="46"/>
      <c r="E59" s="49"/>
      <c r="F59" s="49"/>
      <c r="G59" s="49"/>
      <c r="H59" s="44"/>
      <c r="I59" s="49"/>
      <c r="J59" s="49"/>
      <c r="K59" s="49"/>
      <c r="L59" s="47"/>
    </row>
    <row r="60" spans="1:12" ht="15.9" customHeight="1" x14ac:dyDescent="0.25">
      <c r="A60" s="35"/>
      <c r="B60" s="221"/>
      <c r="C60" s="209"/>
      <c r="D60" s="50" t="s">
        <v>52</v>
      </c>
      <c r="E60" s="49"/>
      <c r="F60" s="91">
        <v>654654</v>
      </c>
      <c r="G60" s="49"/>
      <c r="H60" s="118" t="s">
        <v>82</v>
      </c>
      <c r="I60" s="49"/>
      <c r="J60" s="52" t="s">
        <v>46</v>
      </c>
      <c r="K60" s="49"/>
      <c r="L60" s="53" t="s">
        <v>45</v>
      </c>
    </row>
    <row r="61" spans="1:12" ht="5.0999999999999996" customHeight="1" x14ac:dyDescent="0.25">
      <c r="A61" s="35"/>
      <c r="B61" s="221"/>
      <c r="C61" s="210"/>
      <c r="D61" s="40"/>
      <c r="E61" s="41"/>
      <c r="F61" s="41"/>
      <c r="G61" s="41"/>
      <c r="H61" s="39"/>
      <c r="I61" s="41"/>
      <c r="J61" s="41"/>
      <c r="K61" s="41"/>
      <c r="L61" s="54"/>
    </row>
    <row r="62" spans="1:12" ht="5.0999999999999996" customHeight="1" x14ac:dyDescent="0.25">
      <c r="A62" s="35"/>
      <c r="B62" s="221"/>
      <c r="C62" s="209"/>
      <c r="D62" s="46"/>
      <c r="E62" s="49"/>
      <c r="F62" s="49"/>
      <c r="G62" s="49"/>
      <c r="H62" s="44"/>
      <c r="I62" s="49"/>
      <c r="J62" s="49"/>
      <c r="K62" s="49"/>
      <c r="L62" s="47"/>
    </row>
    <row r="63" spans="1:12" ht="15.9" customHeight="1" x14ac:dyDescent="0.25">
      <c r="A63" s="35"/>
      <c r="B63" s="221"/>
      <c r="C63" s="209"/>
      <c r="D63" s="50" t="s">
        <v>53</v>
      </c>
      <c r="E63" s="49"/>
      <c r="F63" s="51">
        <v>10000</v>
      </c>
      <c r="G63" s="49"/>
      <c r="H63" s="43" t="s">
        <v>45</v>
      </c>
      <c r="I63" s="49"/>
      <c r="J63" s="52" t="s">
        <v>46</v>
      </c>
      <c r="K63" s="49"/>
      <c r="L63" s="53" t="s">
        <v>45</v>
      </c>
    </row>
    <row r="64" spans="1:12" ht="5.0999999999999996" customHeight="1" x14ac:dyDescent="0.25">
      <c r="A64" s="35"/>
      <c r="B64" s="221"/>
      <c r="C64" s="210"/>
      <c r="D64" s="40"/>
      <c r="E64" s="41"/>
      <c r="F64" s="41"/>
      <c r="G64" s="41"/>
      <c r="H64" s="39"/>
      <c r="I64" s="41"/>
      <c r="J64" s="41"/>
      <c r="K64" s="41"/>
      <c r="L64" s="54"/>
    </row>
    <row r="65" spans="1:12" ht="5.0999999999999996" customHeight="1" x14ac:dyDescent="0.25">
      <c r="A65" s="35"/>
      <c r="B65" s="221"/>
      <c r="C65" s="209"/>
      <c r="D65" s="46"/>
      <c r="E65" s="49"/>
      <c r="F65" s="49"/>
      <c r="G65" s="49"/>
      <c r="H65" s="44"/>
      <c r="I65" s="49"/>
      <c r="J65" s="49"/>
      <c r="K65" s="49"/>
      <c r="L65" s="47"/>
    </row>
    <row r="66" spans="1:12" ht="15.9" customHeight="1" x14ac:dyDescent="0.25">
      <c r="A66" s="35"/>
      <c r="B66" s="221"/>
      <c r="C66" s="209"/>
      <c r="D66" s="50" t="s">
        <v>54</v>
      </c>
      <c r="E66" s="49"/>
      <c r="F66" s="51">
        <v>10000</v>
      </c>
      <c r="G66" s="49"/>
      <c r="H66" s="82" t="s">
        <v>83</v>
      </c>
      <c r="I66" s="49"/>
      <c r="J66" s="52" t="s">
        <v>46</v>
      </c>
      <c r="K66" s="49"/>
      <c r="L66" s="53" t="s">
        <v>45</v>
      </c>
    </row>
    <row r="67" spans="1:12" ht="5.0999999999999996" customHeight="1" x14ac:dyDescent="0.25">
      <c r="A67" s="35"/>
      <c r="B67" s="221"/>
      <c r="C67" s="210"/>
      <c r="D67" s="40"/>
      <c r="E67" s="41"/>
      <c r="F67" s="41"/>
      <c r="G67" s="41"/>
      <c r="H67" s="39"/>
      <c r="I67" s="41"/>
      <c r="J67" s="41"/>
      <c r="K67" s="41"/>
      <c r="L67" s="54"/>
    </row>
    <row r="68" spans="1:12" ht="5.0999999999999996" customHeight="1" x14ac:dyDescent="0.25">
      <c r="A68" s="35"/>
      <c r="B68" s="221"/>
      <c r="C68" s="209"/>
      <c r="D68" s="46"/>
      <c r="E68" s="49"/>
      <c r="F68" s="49"/>
      <c r="G68" s="49"/>
      <c r="H68" s="44"/>
      <c r="I68" s="49"/>
      <c r="J68" s="49"/>
      <c r="K68" s="49"/>
      <c r="L68" s="47"/>
    </row>
    <row r="69" spans="1:12" ht="15.9" customHeight="1" x14ac:dyDescent="0.25">
      <c r="A69" s="35"/>
      <c r="B69" s="221"/>
      <c r="C69" s="209"/>
      <c r="D69" s="50" t="s">
        <v>55</v>
      </c>
      <c r="E69" s="49"/>
      <c r="F69" s="87">
        <v>10000</v>
      </c>
      <c r="G69" s="49"/>
      <c r="H69" s="43" t="s">
        <v>84</v>
      </c>
      <c r="I69" s="49"/>
      <c r="J69" s="52" t="s">
        <v>46</v>
      </c>
      <c r="K69" s="49"/>
      <c r="L69" s="53" t="s">
        <v>69</v>
      </c>
    </row>
    <row r="70" spans="1:12" ht="5.0999999999999996" customHeight="1" x14ac:dyDescent="0.25">
      <c r="A70" s="35"/>
      <c r="B70" s="221"/>
      <c r="C70" s="210"/>
      <c r="D70" s="40"/>
      <c r="E70" s="41"/>
      <c r="F70" s="41"/>
      <c r="G70" s="41"/>
      <c r="H70" s="39"/>
      <c r="I70" s="41"/>
      <c r="J70" s="41"/>
      <c r="K70" s="41"/>
      <c r="L70" s="54"/>
    </row>
    <row r="71" spans="1:12" ht="5.0999999999999996" customHeight="1" x14ac:dyDescent="0.25">
      <c r="A71" s="35"/>
      <c r="B71" s="221"/>
      <c r="C71" s="209"/>
      <c r="D71" s="46"/>
      <c r="E71" s="49"/>
      <c r="F71" s="49"/>
      <c r="G71" s="49"/>
      <c r="H71" s="44"/>
      <c r="I71" s="49"/>
      <c r="J71" s="49"/>
      <c r="K71" s="49"/>
      <c r="L71" s="47"/>
    </row>
    <row r="72" spans="1:12" ht="15.9" customHeight="1" x14ac:dyDescent="0.25">
      <c r="A72" s="35"/>
      <c r="B72" s="221"/>
      <c r="C72" s="209"/>
      <c r="D72" s="50" t="s">
        <v>56</v>
      </c>
      <c r="E72" s="49"/>
      <c r="F72" s="49"/>
      <c r="G72" s="49"/>
      <c r="H72" s="44"/>
      <c r="I72" s="49"/>
      <c r="J72" s="49"/>
      <c r="K72" s="49"/>
      <c r="L72" s="47"/>
    </row>
    <row r="73" spans="1:12" ht="5.0999999999999996" customHeight="1" x14ac:dyDescent="0.25">
      <c r="A73" s="35"/>
      <c r="B73" s="221"/>
      <c r="C73" s="80"/>
      <c r="D73" s="83"/>
      <c r="E73" s="49"/>
      <c r="F73" s="49"/>
      <c r="G73" s="49"/>
      <c r="H73" s="44"/>
      <c r="I73" s="49"/>
      <c r="J73" s="49"/>
      <c r="K73" s="49"/>
      <c r="L73" s="47"/>
    </row>
    <row r="74" spans="1:12" ht="15.9" customHeight="1" x14ac:dyDescent="0.25">
      <c r="A74" s="35"/>
      <c r="B74" s="221"/>
      <c r="C74" s="80"/>
      <c r="D74" s="89" t="s">
        <v>70</v>
      </c>
      <c r="E74" s="49"/>
      <c r="F74" s="154" t="s">
        <v>76</v>
      </c>
      <c r="G74" s="49"/>
      <c r="H74" s="82" t="s">
        <v>77</v>
      </c>
      <c r="I74" s="49"/>
      <c r="J74" s="52" t="s">
        <v>46</v>
      </c>
      <c r="K74" s="49"/>
      <c r="L74" s="53" t="s">
        <v>69</v>
      </c>
    </row>
    <row r="75" spans="1:12" ht="5.0999999999999996" customHeight="1" x14ac:dyDescent="0.25">
      <c r="A75" s="35"/>
      <c r="B75" s="221"/>
      <c r="C75" s="80"/>
      <c r="D75" s="88"/>
      <c r="E75" s="41"/>
      <c r="F75" s="120"/>
      <c r="G75" s="41"/>
      <c r="H75" s="39"/>
      <c r="I75" s="41"/>
      <c r="J75" s="41"/>
      <c r="K75" s="41"/>
      <c r="L75" s="81"/>
    </row>
    <row r="76" spans="1:12" ht="5.0999999999999996" customHeight="1" x14ac:dyDescent="0.25">
      <c r="A76" s="35"/>
      <c r="B76" s="221"/>
      <c r="C76" s="80"/>
      <c r="D76" s="83"/>
      <c r="E76" s="49"/>
      <c r="F76" s="121"/>
      <c r="G76" s="49"/>
      <c r="H76" s="44"/>
      <c r="I76" s="49"/>
      <c r="J76" s="49"/>
      <c r="K76" s="49"/>
      <c r="L76" s="47"/>
    </row>
    <row r="77" spans="1:12" ht="15.9" customHeight="1" x14ac:dyDescent="0.25">
      <c r="A77" s="35"/>
      <c r="B77" s="221"/>
      <c r="C77" s="80"/>
      <c r="D77" s="89" t="s">
        <v>71</v>
      </c>
      <c r="E77" s="49"/>
      <c r="F77" s="154" t="s">
        <v>76</v>
      </c>
      <c r="G77" s="49"/>
      <c r="H77" s="82" t="s">
        <v>77</v>
      </c>
      <c r="I77" s="49"/>
      <c r="J77" s="52" t="s">
        <v>46</v>
      </c>
      <c r="K77" s="49"/>
      <c r="L77" s="53" t="s">
        <v>69</v>
      </c>
    </row>
    <row r="78" spans="1:12" ht="5.0999999999999996" customHeight="1" x14ac:dyDescent="0.25">
      <c r="A78" s="35"/>
      <c r="B78" s="221"/>
      <c r="C78" s="80"/>
      <c r="D78" s="88"/>
      <c r="E78" s="41"/>
      <c r="F78" s="120"/>
      <c r="G78" s="41"/>
      <c r="H78" s="39"/>
      <c r="I78" s="41"/>
      <c r="J78" s="41"/>
      <c r="K78" s="41"/>
      <c r="L78" s="81"/>
    </row>
    <row r="79" spans="1:12" ht="5.0999999999999996" customHeight="1" x14ac:dyDescent="0.25">
      <c r="A79" s="35"/>
      <c r="B79" s="221"/>
      <c r="C79" s="80"/>
      <c r="D79" s="83"/>
      <c r="E79" s="49"/>
      <c r="F79" s="121"/>
      <c r="G79" s="49"/>
      <c r="H79" s="44"/>
      <c r="I79" s="49"/>
      <c r="J79" s="49"/>
      <c r="K79" s="49"/>
      <c r="L79" s="47"/>
    </row>
    <row r="80" spans="1:12" ht="15.9" customHeight="1" x14ac:dyDescent="0.25">
      <c r="A80" s="35"/>
      <c r="B80" s="221"/>
      <c r="C80" s="80"/>
      <c r="D80" s="89" t="s">
        <v>72</v>
      </c>
      <c r="E80" s="49"/>
      <c r="F80" s="154" t="s">
        <v>76</v>
      </c>
      <c r="G80" s="49"/>
      <c r="H80" s="82" t="s">
        <v>77</v>
      </c>
      <c r="I80" s="49"/>
      <c r="J80" s="52" t="s">
        <v>46</v>
      </c>
      <c r="K80" s="49"/>
      <c r="L80" s="53" t="s">
        <v>69</v>
      </c>
    </row>
    <row r="81" spans="1:12" ht="5.0999999999999996" customHeight="1" x14ac:dyDescent="0.25">
      <c r="A81" s="35"/>
      <c r="B81" s="221"/>
      <c r="C81" s="80"/>
      <c r="D81" s="88"/>
      <c r="E81" s="41"/>
      <c r="F81" s="120"/>
      <c r="G81" s="41"/>
      <c r="H81" s="39"/>
      <c r="I81" s="41"/>
      <c r="J81" s="41"/>
      <c r="K81" s="41"/>
      <c r="L81" s="81"/>
    </row>
    <row r="82" spans="1:12" ht="5.0999999999999996" customHeight="1" x14ac:dyDescent="0.25">
      <c r="A82" s="35"/>
      <c r="B82" s="221"/>
      <c r="C82" s="80"/>
      <c r="D82" s="83"/>
      <c r="E82" s="49"/>
      <c r="F82" s="121"/>
      <c r="G82" s="49"/>
      <c r="H82" s="44"/>
      <c r="I82" s="49"/>
      <c r="J82" s="49"/>
      <c r="K82" s="49"/>
      <c r="L82" s="47"/>
    </row>
    <row r="83" spans="1:12" ht="15.9" customHeight="1" x14ac:dyDescent="0.25">
      <c r="A83" s="35"/>
      <c r="B83" s="221"/>
      <c r="C83" s="80"/>
      <c r="D83" s="89" t="s">
        <v>73</v>
      </c>
      <c r="E83" s="49"/>
      <c r="F83" s="154" t="s">
        <v>76</v>
      </c>
      <c r="G83" s="49"/>
      <c r="H83" s="82" t="s">
        <v>77</v>
      </c>
      <c r="I83" s="49"/>
      <c r="J83" s="52" t="s">
        <v>46</v>
      </c>
      <c r="K83" s="49"/>
      <c r="L83" s="53" t="s">
        <v>69</v>
      </c>
    </row>
    <row r="84" spans="1:12" ht="5.0999999999999996" customHeight="1" x14ac:dyDescent="0.25">
      <c r="A84" s="35"/>
      <c r="B84" s="221"/>
      <c r="C84" s="80"/>
      <c r="D84" s="88"/>
      <c r="E84" s="41"/>
      <c r="F84" s="120"/>
      <c r="G84" s="41"/>
      <c r="H84" s="39"/>
      <c r="I84" s="41"/>
      <c r="J84" s="41"/>
      <c r="K84" s="41"/>
      <c r="L84" s="81"/>
    </row>
    <row r="85" spans="1:12" ht="5.0999999999999996" customHeight="1" x14ac:dyDescent="0.25">
      <c r="A85" s="35"/>
      <c r="B85" s="221"/>
      <c r="C85" s="80"/>
      <c r="D85" s="83"/>
      <c r="E85" s="49"/>
      <c r="F85" s="121"/>
      <c r="G85" s="49"/>
      <c r="H85" s="44"/>
      <c r="I85" s="49"/>
      <c r="J85" s="49"/>
      <c r="K85" s="49"/>
      <c r="L85" s="47"/>
    </row>
    <row r="86" spans="1:12" ht="15.9" customHeight="1" x14ac:dyDescent="0.25">
      <c r="A86" s="35"/>
      <c r="B86" s="221"/>
      <c r="C86" s="80"/>
      <c r="D86" s="89" t="s">
        <v>74</v>
      </c>
      <c r="E86" s="49"/>
      <c r="F86" s="154" t="s">
        <v>76</v>
      </c>
      <c r="G86" s="49"/>
      <c r="H86" s="82" t="s">
        <v>77</v>
      </c>
      <c r="I86" s="49"/>
      <c r="J86" s="52" t="s">
        <v>46</v>
      </c>
      <c r="K86" s="49"/>
      <c r="L86" s="53" t="s">
        <v>45</v>
      </c>
    </row>
    <row r="87" spans="1:12" ht="5.0999999999999996" customHeight="1" x14ac:dyDescent="0.25">
      <c r="A87" s="35"/>
      <c r="B87" s="221"/>
      <c r="C87" s="80"/>
      <c r="D87" s="88"/>
      <c r="E87" s="41"/>
      <c r="F87" s="120"/>
      <c r="G87" s="41"/>
      <c r="H87" s="39"/>
      <c r="I87" s="41"/>
      <c r="J87" s="41"/>
      <c r="K87" s="41"/>
      <c r="L87" s="81"/>
    </row>
    <row r="88" spans="1:12" ht="5.0999999999999996" customHeight="1" x14ac:dyDescent="0.25">
      <c r="A88" s="35"/>
      <c r="B88" s="221"/>
      <c r="C88" s="80"/>
      <c r="D88" s="83"/>
      <c r="E88" s="49"/>
      <c r="F88" s="121"/>
      <c r="G88" s="49"/>
      <c r="H88" s="44"/>
      <c r="I88" s="49"/>
      <c r="J88" s="49"/>
      <c r="K88" s="49"/>
      <c r="L88" s="47"/>
    </row>
    <row r="89" spans="1:12" ht="15.9" customHeight="1" x14ac:dyDescent="0.25">
      <c r="A89" s="35"/>
      <c r="B89" s="221"/>
      <c r="C89" s="80"/>
      <c r="D89" s="89" t="s">
        <v>75</v>
      </c>
      <c r="E89" s="49"/>
      <c r="F89" s="154" t="s">
        <v>76</v>
      </c>
      <c r="G89" s="49"/>
      <c r="H89" s="82" t="s">
        <v>77</v>
      </c>
      <c r="I89" s="49"/>
      <c r="J89" s="52" t="s">
        <v>46</v>
      </c>
      <c r="K89" s="49"/>
      <c r="L89" s="53" t="s">
        <v>45</v>
      </c>
    </row>
    <row r="90" spans="1:12" ht="5.0999999999999996" customHeight="1" x14ac:dyDescent="0.25">
      <c r="A90" s="35"/>
      <c r="B90" s="221"/>
      <c r="C90" s="80"/>
      <c r="D90" s="88"/>
      <c r="E90" s="41"/>
      <c r="F90" s="41"/>
      <c r="G90" s="41"/>
      <c r="H90" s="39"/>
      <c r="I90" s="41"/>
      <c r="J90" s="41"/>
      <c r="K90" s="41"/>
      <c r="L90" s="81"/>
    </row>
    <row r="91" spans="1:12" ht="5.0999999999999996" customHeight="1" x14ac:dyDescent="0.25">
      <c r="A91" s="35"/>
      <c r="B91" s="221"/>
      <c r="C91" s="80"/>
      <c r="D91" s="83"/>
      <c r="E91" s="49"/>
      <c r="F91" s="49"/>
      <c r="G91" s="49"/>
      <c r="H91" s="44"/>
      <c r="I91" s="49"/>
      <c r="J91" s="49"/>
      <c r="K91" s="49"/>
      <c r="L91" s="47"/>
    </row>
    <row r="92" spans="1:12" ht="15.9" customHeight="1" x14ac:dyDescent="0.25">
      <c r="A92" s="35"/>
      <c r="B92" s="221"/>
      <c r="C92" s="80"/>
      <c r="D92" s="89" t="s">
        <v>79</v>
      </c>
      <c r="E92" s="49"/>
      <c r="F92" s="132">
        <v>654654</v>
      </c>
      <c r="G92" s="49"/>
      <c r="H92" s="82" t="s">
        <v>82</v>
      </c>
      <c r="I92" s="49"/>
      <c r="J92" s="52" t="s">
        <v>46</v>
      </c>
      <c r="K92" s="49"/>
      <c r="L92" s="53" t="s">
        <v>45</v>
      </c>
    </row>
    <row r="93" spans="1:12" ht="5.0999999999999996" customHeight="1" x14ac:dyDescent="0.25">
      <c r="A93" s="35"/>
      <c r="B93" s="221"/>
      <c r="C93" s="80"/>
      <c r="D93" s="88"/>
      <c r="E93" s="41"/>
      <c r="F93" s="41"/>
      <c r="G93" s="41"/>
      <c r="H93" s="39"/>
      <c r="I93" s="41"/>
      <c r="J93" s="41"/>
      <c r="K93" s="41"/>
      <c r="L93" s="81"/>
    </row>
    <row r="94" spans="1:12" ht="5.0999999999999996" customHeight="1" x14ac:dyDescent="0.25">
      <c r="A94" s="35"/>
      <c r="B94" s="221"/>
      <c r="C94" s="80"/>
      <c r="D94" s="83"/>
      <c r="E94" s="49"/>
      <c r="F94" s="49"/>
      <c r="G94" s="49"/>
      <c r="H94" s="44"/>
      <c r="I94" s="49"/>
      <c r="J94" s="49"/>
      <c r="K94" s="49"/>
      <c r="L94" s="47"/>
    </row>
    <row r="95" spans="1:12" ht="15.9" customHeight="1" x14ac:dyDescent="0.25">
      <c r="A95" s="35"/>
      <c r="B95" s="221"/>
      <c r="C95" s="80"/>
      <c r="D95" s="89" t="s">
        <v>78</v>
      </c>
      <c r="E95" s="49"/>
      <c r="F95" s="132">
        <v>654654</v>
      </c>
      <c r="G95" s="49"/>
      <c r="H95" s="82" t="s">
        <v>82</v>
      </c>
      <c r="I95" s="49"/>
      <c r="J95" s="52" t="s">
        <v>46</v>
      </c>
      <c r="K95" s="49"/>
      <c r="L95" s="53" t="s">
        <v>45</v>
      </c>
    </row>
    <row r="96" spans="1:12" ht="5.0999999999999996" customHeight="1" x14ac:dyDescent="0.25">
      <c r="A96" s="35"/>
      <c r="B96" s="221"/>
      <c r="C96" s="80"/>
      <c r="D96" s="88"/>
      <c r="E96" s="41"/>
      <c r="F96" s="41"/>
      <c r="G96" s="41"/>
      <c r="H96" s="39"/>
      <c r="I96" s="41"/>
      <c r="J96" s="41"/>
      <c r="K96" s="41"/>
      <c r="L96" s="81"/>
    </row>
    <row r="97" spans="1:14" ht="5.0999999999999996" customHeight="1" x14ac:dyDescent="0.25">
      <c r="A97" s="35"/>
      <c r="B97" s="221"/>
      <c r="C97" s="80"/>
      <c r="D97" s="83"/>
      <c r="E97" s="49"/>
      <c r="F97" s="49"/>
      <c r="G97" s="49"/>
      <c r="H97" s="44"/>
      <c r="I97" s="49"/>
      <c r="J97" s="49"/>
      <c r="K97" s="49"/>
      <c r="L97" s="47"/>
    </row>
    <row r="98" spans="1:14" ht="15.9" customHeight="1" x14ac:dyDescent="0.25">
      <c r="A98" s="35"/>
      <c r="B98" s="221"/>
      <c r="C98" s="80"/>
      <c r="D98" s="89" t="s">
        <v>80</v>
      </c>
      <c r="E98" s="49"/>
      <c r="F98" s="98">
        <v>654654</v>
      </c>
      <c r="G98" s="49"/>
      <c r="H98" s="82" t="s">
        <v>82</v>
      </c>
      <c r="I98" s="49"/>
      <c r="J98" s="52" t="s">
        <v>46</v>
      </c>
      <c r="K98" s="49"/>
      <c r="L98" s="53" t="s">
        <v>45</v>
      </c>
    </row>
    <row r="99" spans="1:14" ht="5.0999999999999996" customHeight="1" x14ac:dyDescent="0.25">
      <c r="A99" s="35"/>
      <c r="B99" s="221"/>
      <c r="C99" s="80"/>
      <c r="D99" s="88"/>
      <c r="E99" s="41"/>
      <c r="F99" s="41"/>
      <c r="G99" s="41"/>
      <c r="H99" s="39"/>
      <c r="I99" s="41"/>
      <c r="J99" s="41"/>
      <c r="K99" s="41"/>
      <c r="L99" s="81"/>
    </row>
    <row r="100" spans="1:14" ht="5.0999999999999996" customHeight="1" x14ac:dyDescent="0.25">
      <c r="A100" s="35"/>
      <c r="B100" s="221"/>
      <c r="C100" s="80"/>
      <c r="D100" s="83"/>
      <c r="E100" s="49"/>
      <c r="F100" s="49"/>
      <c r="G100" s="49"/>
      <c r="H100" s="44"/>
      <c r="I100" s="49"/>
      <c r="J100" s="49"/>
      <c r="K100" s="49"/>
      <c r="L100" s="47"/>
    </row>
    <row r="101" spans="1:14" ht="15.9" customHeight="1" x14ac:dyDescent="0.25">
      <c r="A101" s="35"/>
      <c r="B101" s="221"/>
      <c r="C101" s="80"/>
      <c r="D101" s="89" t="s">
        <v>81</v>
      </c>
      <c r="E101" s="49"/>
      <c r="F101" s="132">
        <v>654654</v>
      </c>
      <c r="G101" s="49"/>
      <c r="H101" s="82" t="s">
        <v>82</v>
      </c>
      <c r="I101" s="49"/>
      <c r="J101" s="52" t="s">
        <v>46</v>
      </c>
      <c r="K101" s="49"/>
      <c r="L101" s="53" t="s">
        <v>45</v>
      </c>
    </row>
    <row r="102" spans="1:14" ht="5.0999999999999996" customHeight="1" x14ac:dyDescent="0.25">
      <c r="A102" s="35"/>
      <c r="B102" s="221"/>
      <c r="C102" s="80"/>
      <c r="D102" s="88"/>
      <c r="E102" s="41"/>
      <c r="F102" s="41"/>
      <c r="G102" s="41"/>
      <c r="H102" s="39"/>
      <c r="I102" s="41"/>
      <c r="J102" s="41"/>
      <c r="K102" s="41"/>
      <c r="L102" s="81"/>
    </row>
    <row r="103" spans="1:14" ht="5.0999999999999996" customHeight="1" x14ac:dyDescent="0.25">
      <c r="A103" s="35"/>
      <c r="B103" s="221"/>
      <c r="C103" s="92"/>
      <c r="D103" s="95"/>
      <c r="E103" s="49"/>
      <c r="F103" s="49"/>
      <c r="G103" s="49"/>
      <c r="H103" s="44"/>
      <c r="I103" s="49"/>
      <c r="J103" s="49"/>
      <c r="K103" s="49"/>
      <c r="L103" s="47"/>
    </row>
    <row r="104" spans="1:14" ht="15.9" customHeight="1" x14ac:dyDescent="0.25">
      <c r="A104" s="35"/>
      <c r="B104" s="221"/>
      <c r="C104" s="92"/>
      <c r="D104" s="89" t="s">
        <v>87</v>
      </c>
      <c r="E104" s="49"/>
      <c r="F104" s="119" t="s">
        <v>76</v>
      </c>
      <c r="G104" s="49"/>
      <c r="H104" s="94" t="s">
        <v>77</v>
      </c>
      <c r="I104" s="49"/>
      <c r="J104" s="52" t="s">
        <v>46</v>
      </c>
      <c r="K104" s="49"/>
      <c r="L104" s="53" t="s">
        <v>45</v>
      </c>
    </row>
    <row r="105" spans="1:14" ht="5.0999999999999996" customHeight="1" x14ac:dyDescent="0.25">
      <c r="A105" s="35"/>
      <c r="B105" s="221"/>
      <c r="C105" s="92"/>
      <c r="D105" s="88"/>
      <c r="E105" s="41"/>
      <c r="F105" s="41"/>
      <c r="G105" s="41"/>
      <c r="H105" s="39"/>
      <c r="I105" s="41"/>
      <c r="J105" s="41"/>
      <c r="K105" s="41"/>
      <c r="L105" s="93"/>
    </row>
    <row r="106" spans="1:14" ht="5.0999999999999996" customHeight="1" x14ac:dyDescent="0.25">
      <c r="A106" s="100"/>
      <c r="B106" s="221"/>
      <c r="C106" s="105"/>
      <c r="D106" s="108"/>
      <c r="E106" s="107"/>
      <c r="F106" s="107"/>
      <c r="G106" s="107"/>
      <c r="H106" s="104"/>
      <c r="I106" s="107"/>
      <c r="J106" s="107"/>
      <c r="K106" s="107"/>
      <c r="L106" s="106"/>
      <c r="M106" s="99"/>
      <c r="N106" s="99"/>
    </row>
    <row r="107" spans="1:14" ht="15.9" customHeight="1" x14ac:dyDescent="0.25">
      <c r="A107" s="100"/>
      <c r="B107" s="221"/>
      <c r="C107" s="105"/>
      <c r="D107" s="113" t="s">
        <v>89</v>
      </c>
      <c r="E107" s="107"/>
      <c r="F107" s="155">
        <v>6.5</v>
      </c>
      <c r="G107" s="107"/>
      <c r="H107" s="103" t="s">
        <v>90</v>
      </c>
      <c r="I107" s="107"/>
      <c r="J107" s="109" t="s">
        <v>76</v>
      </c>
      <c r="K107" s="107"/>
      <c r="L107" s="110" t="s">
        <v>45</v>
      </c>
      <c r="M107" s="99"/>
      <c r="N107" s="99"/>
    </row>
    <row r="108" spans="1:14" ht="5.0999999999999996" customHeight="1" x14ac:dyDescent="0.25">
      <c r="A108" s="100"/>
      <c r="B108" s="221"/>
      <c r="C108" s="105"/>
      <c r="D108" s="112"/>
      <c r="E108" s="102"/>
      <c r="F108" s="102"/>
      <c r="G108" s="102"/>
      <c r="H108" s="101"/>
      <c r="I108" s="102"/>
      <c r="J108" s="102"/>
      <c r="K108" s="102"/>
      <c r="L108" s="111"/>
      <c r="M108" s="99"/>
      <c r="N108" s="99"/>
    </row>
    <row r="109" spans="1:14" ht="5.0999999999999996" customHeight="1" x14ac:dyDescent="0.25">
      <c r="A109" s="100"/>
      <c r="B109" s="221"/>
      <c r="C109" s="105"/>
      <c r="D109" s="108"/>
      <c r="E109" s="107"/>
      <c r="F109" s="107"/>
      <c r="G109" s="107"/>
      <c r="H109" s="104"/>
      <c r="I109" s="107"/>
      <c r="J109" s="107"/>
      <c r="K109" s="107"/>
      <c r="L109" s="106"/>
      <c r="M109" s="99"/>
      <c r="N109" s="99"/>
    </row>
    <row r="110" spans="1:14" ht="15.9" customHeight="1" x14ac:dyDescent="0.25">
      <c r="A110" s="100"/>
      <c r="B110" s="221"/>
      <c r="C110" s="105"/>
      <c r="D110" s="113" t="s">
        <v>91</v>
      </c>
      <c r="E110" s="107"/>
      <c r="F110" s="155">
        <v>6.5</v>
      </c>
      <c r="G110" s="107"/>
      <c r="H110" s="103" t="s">
        <v>90</v>
      </c>
      <c r="I110" s="107"/>
      <c r="J110" s="109" t="s">
        <v>76</v>
      </c>
      <c r="K110" s="107"/>
      <c r="L110" s="110" t="s">
        <v>45</v>
      </c>
      <c r="M110" s="99"/>
      <c r="N110" s="99"/>
    </row>
    <row r="111" spans="1:14" ht="5.0999999999999996" customHeight="1" x14ac:dyDescent="0.25">
      <c r="A111" s="100"/>
      <c r="B111" s="221"/>
      <c r="C111" s="105"/>
      <c r="D111" s="112"/>
      <c r="E111" s="102"/>
      <c r="F111" s="102"/>
      <c r="G111" s="102"/>
      <c r="H111" s="101"/>
      <c r="I111" s="102"/>
      <c r="J111" s="102"/>
      <c r="K111" s="102"/>
      <c r="L111" s="111"/>
      <c r="M111" s="99"/>
      <c r="N111" s="99"/>
    </row>
    <row r="112" spans="1:14" ht="5.0999999999999996" customHeight="1" x14ac:dyDescent="0.25">
      <c r="A112" s="100"/>
      <c r="B112" s="221"/>
      <c r="C112" s="115"/>
      <c r="D112" s="116"/>
      <c r="E112" s="107"/>
      <c r="F112" s="107"/>
      <c r="G112" s="107"/>
      <c r="H112" s="104"/>
      <c r="I112" s="107"/>
      <c r="J112" s="107"/>
      <c r="K112" s="107"/>
      <c r="L112" s="106"/>
      <c r="M112" s="99"/>
      <c r="N112" s="99"/>
    </row>
    <row r="113" spans="1:14" ht="15.9" customHeight="1" x14ac:dyDescent="0.25">
      <c r="A113" s="100"/>
      <c r="B113" s="221"/>
      <c r="C113" s="115"/>
      <c r="D113" s="113" t="s">
        <v>22</v>
      </c>
      <c r="E113" s="107"/>
      <c r="F113" s="132">
        <v>654654</v>
      </c>
      <c r="G113" s="107"/>
      <c r="H113" s="118" t="s">
        <v>82</v>
      </c>
      <c r="I113" s="107"/>
      <c r="J113" s="109" t="s">
        <v>76</v>
      </c>
      <c r="K113" s="107"/>
      <c r="L113" s="110" t="s">
        <v>45</v>
      </c>
      <c r="M113" s="99"/>
      <c r="N113" s="99"/>
    </row>
    <row r="114" spans="1:14" ht="5.0999999999999996" customHeight="1" x14ac:dyDescent="0.25">
      <c r="A114" s="100"/>
      <c r="B114" s="221"/>
      <c r="C114" s="115"/>
      <c r="D114" s="112"/>
      <c r="E114" s="102"/>
      <c r="F114" s="102"/>
      <c r="G114" s="102"/>
      <c r="H114" s="101"/>
      <c r="I114" s="102"/>
      <c r="J114" s="102"/>
      <c r="K114" s="102"/>
      <c r="L114" s="117"/>
      <c r="M114" s="99"/>
      <c r="N114" s="99"/>
    </row>
    <row r="115" spans="1:14" s="99" customFormat="1" ht="5.0999999999999996" customHeight="1" x14ac:dyDescent="0.25">
      <c r="A115" s="100"/>
      <c r="B115" s="221"/>
      <c r="C115" s="128"/>
      <c r="D115" s="131"/>
      <c r="E115" s="107"/>
      <c r="F115" s="107"/>
      <c r="G115" s="107"/>
      <c r="H115" s="104"/>
      <c r="I115" s="107"/>
      <c r="J115" s="107"/>
      <c r="K115" s="107"/>
      <c r="L115" s="106"/>
    </row>
    <row r="116" spans="1:14" s="99" customFormat="1" ht="15.9" customHeight="1" x14ac:dyDescent="0.25">
      <c r="A116" s="100"/>
      <c r="B116" s="221"/>
      <c r="C116" s="128"/>
      <c r="D116" s="113" t="s">
        <v>98</v>
      </c>
      <c r="E116" s="107"/>
      <c r="F116" s="132">
        <v>654654</v>
      </c>
      <c r="G116" s="107"/>
      <c r="H116" s="130" t="s">
        <v>82</v>
      </c>
      <c r="I116" s="107"/>
      <c r="J116" s="109" t="s">
        <v>76</v>
      </c>
      <c r="K116" s="107"/>
      <c r="L116" s="110" t="s">
        <v>45</v>
      </c>
    </row>
    <row r="117" spans="1:14" s="99" customFormat="1" ht="5.0999999999999996" customHeight="1" x14ac:dyDescent="0.25">
      <c r="A117" s="100"/>
      <c r="B117" s="221"/>
      <c r="C117" s="128"/>
      <c r="D117" s="112"/>
      <c r="E117" s="102"/>
      <c r="F117" s="102"/>
      <c r="G117" s="102"/>
      <c r="H117" s="101"/>
      <c r="I117" s="102"/>
      <c r="J117" s="102"/>
      <c r="K117" s="102"/>
      <c r="L117" s="129"/>
    </row>
    <row r="118" spans="1:14" ht="5.0999999999999996" customHeight="1" x14ac:dyDescent="0.25">
      <c r="A118" s="100"/>
      <c r="B118" s="221"/>
      <c r="C118" s="158"/>
      <c r="D118" s="161"/>
      <c r="E118" s="107"/>
      <c r="F118" s="107"/>
      <c r="G118" s="107"/>
      <c r="H118" s="104"/>
      <c r="I118" s="107"/>
      <c r="J118" s="107"/>
      <c r="K118" s="107"/>
      <c r="L118" s="106"/>
      <c r="M118" s="99"/>
      <c r="N118" s="99"/>
    </row>
    <row r="119" spans="1:14" ht="15.9" customHeight="1" x14ac:dyDescent="0.25">
      <c r="A119" s="100"/>
      <c r="B119" s="221"/>
      <c r="C119" s="158"/>
      <c r="D119" s="113" t="s">
        <v>116</v>
      </c>
      <c r="E119" s="107"/>
      <c r="F119" s="171">
        <v>10000</v>
      </c>
      <c r="G119" s="107"/>
      <c r="H119" s="160" t="s">
        <v>45</v>
      </c>
      <c r="I119" s="107"/>
      <c r="J119" s="109" t="s">
        <v>46</v>
      </c>
      <c r="K119" s="107"/>
      <c r="L119" s="110" t="s">
        <v>45</v>
      </c>
      <c r="M119" s="99"/>
      <c r="N119" s="99"/>
    </row>
    <row r="120" spans="1:14" ht="5.0999999999999996" customHeight="1" x14ac:dyDescent="0.25">
      <c r="A120" s="100"/>
      <c r="B120" s="221"/>
      <c r="C120" s="158"/>
      <c r="D120" s="112"/>
      <c r="E120" s="102"/>
      <c r="F120" s="102"/>
      <c r="G120" s="102"/>
      <c r="H120" s="101"/>
      <c r="I120" s="102"/>
      <c r="J120" s="102"/>
      <c r="K120" s="102"/>
      <c r="L120" s="159"/>
      <c r="M120" s="99"/>
      <c r="N120" s="99"/>
    </row>
    <row r="121" spans="1:14" ht="5.0999999999999996" customHeight="1" x14ac:dyDescent="0.25">
      <c r="A121" s="100"/>
      <c r="B121" s="221"/>
      <c r="C121" s="166"/>
      <c r="D121" s="169"/>
      <c r="E121" s="107"/>
      <c r="F121" s="107"/>
      <c r="G121" s="107"/>
      <c r="H121" s="104"/>
      <c r="I121" s="107"/>
      <c r="J121" s="107"/>
      <c r="K121" s="107"/>
      <c r="L121" s="106"/>
      <c r="M121" s="99"/>
      <c r="N121" s="99"/>
    </row>
    <row r="122" spans="1:14" ht="15.9" customHeight="1" x14ac:dyDescent="0.25">
      <c r="A122" s="100"/>
      <c r="B122" s="221"/>
      <c r="C122" s="166"/>
      <c r="D122" s="113" t="s">
        <v>122</v>
      </c>
      <c r="E122" s="107"/>
      <c r="F122" s="154" t="s">
        <v>76</v>
      </c>
      <c r="G122" s="107"/>
      <c r="H122" s="168" t="s">
        <v>45</v>
      </c>
      <c r="I122" s="107"/>
      <c r="J122" s="109" t="s">
        <v>46</v>
      </c>
      <c r="K122" s="107"/>
      <c r="L122" s="110" t="s">
        <v>45</v>
      </c>
      <c r="M122" s="99"/>
      <c r="N122" s="99"/>
    </row>
    <row r="123" spans="1:14" ht="5.0999999999999996" customHeight="1" x14ac:dyDescent="0.25">
      <c r="A123" s="100"/>
      <c r="B123" s="221"/>
      <c r="C123" s="166"/>
      <c r="D123" s="112"/>
      <c r="E123" s="102"/>
      <c r="F123" s="102"/>
      <c r="G123" s="102"/>
      <c r="H123" s="101"/>
      <c r="I123" s="102"/>
      <c r="J123" s="102"/>
      <c r="K123" s="102"/>
      <c r="L123" s="167"/>
      <c r="M123" s="99"/>
      <c r="N123" s="99"/>
    </row>
    <row r="124" spans="1:14" ht="5.0999999999999996" customHeight="1" x14ac:dyDescent="0.25">
      <c r="A124" s="100"/>
      <c r="B124" s="221"/>
      <c r="C124" s="166"/>
      <c r="D124" s="169"/>
      <c r="E124" s="107"/>
      <c r="F124" s="107"/>
      <c r="G124" s="107"/>
      <c r="H124" s="104"/>
      <c r="I124" s="107"/>
      <c r="J124" s="107"/>
      <c r="K124" s="107"/>
      <c r="L124" s="106"/>
      <c r="M124" s="99"/>
      <c r="N124" s="99"/>
    </row>
    <row r="125" spans="1:14" ht="15.9" customHeight="1" x14ac:dyDescent="0.25">
      <c r="A125" s="100"/>
      <c r="B125" s="221"/>
      <c r="C125" s="166"/>
      <c r="D125" s="113" t="s">
        <v>123</v>
      </c>
      <c r="E125" s="107"/>
      <c r="F125" s="154" t="s">
        <v>76</v>
      </c>
      <c r="G125" s="107"/>
      <c r="H125" s="168" t="s">
        <v>45</v>
      </c>
      <c r="I125" s="107"/>
      <c r="J125" s="109" t="s">
        <v>46</v>
      </c>
      <c r="K125" s="107"/>
      <c r="L125" s="110" t="s">
        <v>45</v>
      </c>
      <c r="M125" s="99"/>
      <c r="N125" s="99"/>
    </row>
    <row r="126" spans="1:14" ht="5.0999999999999996" customHeight="1" x14ac:dyDescent="0.25">
      <c r="A126" s="100"/>
      <c r="B126" s="221"/>
      <c r="C126" s="166"/>
      <c r="D126" s="112"/>
      <c r="E126" s="102"/>
      <c r="F126" s="102"/>
      <c r="G126" s="102"/>
      <c r="H126" s="101"/>
      <c r="I126" s="102"/>
      <c r="J126" s="102"/>
      <c r="K126" s="102"/>
      <c r="L126" s="167"/>
      <c r="M126" s="99"/>
      <c r="N126" s="99"/>
    </row>
    <row r="127" spans="1:14" s="99" customFormat="1" ht="5.0999999999999996" customHeight="1" x14ac:dyDescent="0.25">
      <c r="A127" s="100"/>
      <c r="B127" s="221"/>
      <c r="C127" s="166"/>
      <c r="D127" s="169"/>
      <c r="E127" s="107"/>
      <c r="F127" s="107"/>
      <c r="G127" s="107"/>
      <c r="H127" s="104"/>
      <c r="I127" s="107"/>
      <c r="J127" s="107"/>
      <c r="K127" s="107"/>
      <c r="L127" s="106"/>
    </row>
    <row r="128" spans="1:14" s="99" customFormat="1" ht="15.75" customHeight="1" x14ac:dyDescent="0.25">
      <c r="A128" s="100"/>
      <c r="B128" s="221"/>
      <c r="C128" s="166"/>
      <c r="D128" s="113" t="s">
        <v>118</v>
      </c>
      <c r="E128" s="107"/>
      <c r="F128" s="132">
        <v>654654</v>
      </c>
      <c r="G128" s="107"/>
      <c r="H128" s="168" t="s">
        <v>45</v>
      </c>
      <c r="I128" s="107"/>
      <c r="J128" s="109" t="s">
        <v>46</v>
      </c>
      <c r="K128" s="107"/>
      <c r="L128" s="110" t="s">
        <v>45</v>
      </c>
    </row>
    <row r="129" spans="1:14" s="99" customFormat="1" ht="5.0999999999999996" customHeight="1" x14ac:dyDescent="0.25">
      <c r="A129" s="100"/>
      <c r="B129" s="221"/>
      <c r="C129" s="166"/>
      <c r="D129" s="112"/>
      <c r="E129" s="102"/>
      <c r="F129" s="102"/>
      <c r="G129" s="102"/>
      <c r="H129" s="101"/>
      <c r="I129" s="102"/>
      <c r="J129" s="102"/>
      <c r="K129" s="102"/>
      <c r="L129" s="167"/>
    </row>
    <row r="130" spans="1:14" s="99" customFormat="1" ht="5.0999999999999996" customHeight="1" x14ac:dyDescent="0.25">
      <c r="A130" s="100"/>
      <c r="B130" s="221"/>
      <c r="C130" s="172"/>
      <c r="D130" s="175"/>
      <c r="E130" s="107"/>
      <c r="F130" s="107"/>
      <c r="G130" s="107"/>
      <c r="H130" s="104"/>
      <c r="I130" s="107"/>
      <c r="J130" s="107"/>
      <c r="K130" s="107"/>
      <c r="L130" s="106"/>
    </row>
    <row r="131" spans="1:14" s="99" customFormat="1" ht="15.75" customHeight="1" x14ac:dyDescent="0.25">
      <c r="A131" s="100"/>
      <c r="B131" s="221"/>
      <c r="C131" s="172"/>
      <c r="D131" s="113" t="s">
        <v>85</v>
      </c>
      <c r="E131" s="107"/>
      <c r="F131" s="171">
        <v>10000</v>
      </c>
      <c r="G131" s="107"/>
      <c r="H131" s="174" t="s">
        <v>45</v>
      </c>
      <c r="I131" s="107"/>
      <c r="J131" s="109" t="s">
        <v>46</v>
      </c>
      <c r="K131" s="107"/>
      <c r="L131" s="110" t="s">
        <v>45</v>
      </c>
    </row>
    <row r="132" spans="1:14" s="99" customFormat="1" ht="5.0999999999999996" customHeight="1" x14ac:dyDescent="0.25">
      <c r="A132" s="100"/>
      <c r="B132" s="221"/>
      <c r="C132" s="172"/>
      <c r="D132" s="112"/>
      <c r="E132" s="102"/>
      <c r="F132" s="102"/>
      <c r="G132" s="102"/>
      <c r="H132" s="101"/>
      <c r="I132" s="102"/>
      <c r="J132" s="102"/>
      <c r="K132" s="102"/>
      <c r="L132" s="173"/>
    </row>
    <row r="133" spans="1:14" s="99" customFormat="1" ht="21.9" customHeight="1" x14ac:dyDescent="0.25">
      <c r="A133" s="35"/>
      <c r="B133" s="221"/>
      <c r="C133" s="45"/>
      <c r="D133" s="46"/>
      <c r="E133" s="46"/>
      <c r="F133" s="46"/>
      <c r="G133" s="46"/>
      <c r="H133" s="44"/>
      <c r="I133" s="46"/>
      <c r="J133" s="46"/>
      <c r="K133" s="46"/>
      <c r="L133" s="47"/>
      <c r="M133" s="34"/>
      <c r="N133" s="34"/>
    </row>
    <row r="134" spans="1:14" s="99" customFormat="1" ht="5.0999999999999996" customHeight="1" thickBot="1" x14ac:dyDescent="0.3">
      <c r="A134" s="35"/>
      <c r="B134" s="231"/>
      <c r="C134" s="58"/>
      <c r="D134" s="59"/>
      <c r="E134" s="59"/>
      <c r="F134" s="59"/>
      <c r="G134" s="59"/>
      <c r="H134" s="63"/>
      <c r="I134" s="59"/>
      <c r="J134" s="59"/>
      <c r="K134" s="59"/>
      <c r="L134" s="60"/>
      <c r="M134" s="34"/>
      <c r="N134" s="34"/>
    </row>
    <row r="135" spans="1:14" s="99" customFormat="1" ht="18" customHeight="1" x14ac:dyDescent="0.25">
      <c r="A135" s="35"/>
      <c r="B135" s="220" t="s">
        <v>43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7"/>
      <c r="M135" s="34"/>
      <c r="N135" s="34"/>
    </row>
    <row r="136" spans="1:14" s="99" customFormat="1" ht="17.100000000000001" customHeight="1" x14ac:dyDescent="0.25">
      <c r="A136" s="35"/>
      <c r="B136" s="221"/>
      <c r="C136" s="38"/>
      <c r="D136" s="39"/>
      <c r="E136" s="211" t="s">
        <v>40</v>
      </c>
      <c r="F136" s="212"/>
      <c r="G136" s="213"/>
      <c r="H136" s="37" t="s">
        <v>41</v>
      </c>
      <c r="I136" s="211" t="s">
        <v>42</v>
      </c>
      <c r="J136" s="212"/>
      <c r="K136" s="213"/>
      <c r="L136" s="48" t="s">
        <v>41</v>
      </c>
      <c r="M136" s="34"/>
      <c r="N136" s="34"/>
    </row>
    <row r="137" spans="1:14" s="99" customFormat="1" ht="5.0999999999999996" customHeight="1" x14ac:dyDescent="0.25">
      <c r="A137" s="35"/>
      <c r="B137" s="221"/>
      <c r="C137" s="208"/>
      <c r="D137" s="46"/>
      <c r="E137" s="49"/>
      <c r="F137" s="49"/>
      <c r="G137" s="49"/>
      <c r="H137" s="42"/>
      <c r="I137" s="49"/>
      <c r="J137" s="49"/>
      <c r="K137" s="49"/>
      <c r="L137" s="47"/>
      <c r="M137" s="34"/>
      <c r="N137" s="34"/>
    </row>
    <row r="138" spans="1:14" s="99" customFormat="1" ht="15.9" customHeight="1" x14ac:dyDescent="0.25">
      <c r="A138" s="35"/>
      <c r="B138" s="221"/>
      <c r="C138" s="209"/>
      <c r="D138" s="50" t="s">
        <v>51</v>
      </c>
      <c r="E138" s="49"/>
      <c r="F138" s="51">
        <v>10000</v>
      </c>
      <c r="G138" s="49"/>
      <c r="H138" s="43" t="s">
        <v>45</v>
      </c>
      <c r="I138" s="49"/>
      <c r="J138" s="52" t="s">
        <v>46</v>
      </c>
      <c r="K138" s="49"/>
      <c r="L138" s="53" t="s">
        <v>45</v>
      </c>
      <c r="M138" s="34"/>
      <c r="N138" s="34"/>
    </row>
    <row r="139" spans="1:14" s="99" customFormat="1" ht="5.0999999999999996" customHeight="1" x14ac:dyDescent="0.25">
      <c r="A139" s="35"/>
      <c r="B139" s="221"/>
      <c r="C139" s="210"/>
      <c r="D139" s="40"/>
      <c r="E139" s="41"/>
      <c r="F139" s="41"/>
      <c r="G139" s="41"/>
      <c r="H139" s="39"/>
      <c r="I139" s="41"/>
      <c r="J139" s="41"/>
      <c r="K139" s="41"/>
      <c r="L139" s="54"/>
      <c r="M139" s="34"/>
      <c r="N139" s="34"/>
    </row>
    <row r="140" spans="1:14" s="99" customFormat="1" ht="5.0999999999999996" customHeight="1" x14ac:dyDescent="0.25">
      <c r="A140" s="35"/>
      <c r="B140" s="221"/>
      <c r="C140" s="209"/>
      <c r="D140" s="46"/>
      <c r="E140" s="49"/>
      <c r="F140" s="49"/>
      <c r="G140" s="49"/>
      <c r="H140" s="44"/>
      <c r="I140" s="49"/>
      <c r="J140" s="49"/>
      <c r="K140" s="49"/>
      <c r="L140" s="47"/>
      <c r="M140" s="34"/>
      <c r="N140" s="34"/>
    </row>
    <row r="141" spans="1:14" s="99" customFormat="1" ht="15.9" customHeight="1" x14ac:dyDescent="0.25">
      <c r="A141" s="35"/>
      <c r="B141" s="221"/>
      <c r="C141" s="209"/>
      <c r="D141" s="50" t="s">
        <v>52</v>
      </c>
      <c r="E141" s="49"/>
      <c r="F141" s="86">
        <v>10000</v>
      </c>
      <c r="G141" s="49"/>
      <c r="H141" s="118" t="s">
        <v>95</v>
      </c>
      <c r="I141" s="49"/>
      <c r="J141" s="52" t="s">
        <v>46</v>
      </c>
      <c r="K141" s="49"/>
      <c r="L141" s="53" t="s">
        <v>45</v>
      </c>
      <c r="M141" s="34"/>
      <c r="N141" s="34"/>
    </row>
    <row r="142" spans="1:14" s="99" customFormat="1" ht="5.0999999999999996" customHeight="1" x14ac:dyDescent="0.25">
      <c r="A142" s="35"/>
      <c r="B142" s="221"/>
      <c r="C142" s="210"/>
      <c r="D142" s="40"/>
      <c r="E142" s="41"/>
      <c r="F142" s="41"/>
      <c r="G142" s="41"/>
      <c r="H142" s="39"/>
      <c r="I142" s="41"/>
      <c r="J142" s="41"/>
      <c r="K142" s="41"/>
      <c r="L142" s="54"/>
      <c r="M142" s="34"/>
      <c r="N142" s="34"/>
    </row>
    <row r="143" spans="1:14" s="99" customFormat="1" ht="5.0999999999999996" customHeight="1" x14ac:dyDescent="0.25">
      <c r="A143" s="35"/>
      <c r="B143" s="221"/>
      <c r="C143" s="209"/>
      <c r="D143" s="46"/>
      <c r="E143" s="49"/>
      <c r="F143" s="49"/>
      <c r="G143" s="49"/>
      <c r="H143" s="44"/>
      <c r="I143" s="49"/>
      <c r="J143" s="49"/>
      <c r="K143" s="49"/>
      <c r="L143" s="47"/>
      <c r="M143" s="34"/>
      <c r="N143" s="34"/>
    </row>
    <row r="144" spans="1:14" s="99" customFormat="1" ht="15.9" customHeight="1" x14ac:dyDescent="0.25">
      <c r="A144" s="35"/>
      <c r="B144" s="221"/>
      <c r="C144" s="209"/>
      <c r="D144" s="50" t="s">
        <v>53</v>
      </c>
      <c r="E144" s="49"/>
      <c r="F144" s="51">
        <v>10000</v>
      </c>
      <c r="G144" s="49"/>
      <c r="H144" s="43" t="s">
        <v>45</v>
      </c>
      <c r="I144" s="49"/>
      <c r="J144" s="52" t="s">
        <v>46</v>
      </c>
      <c r="K144" s="49"/>
      <c r="L144" s="53" t="s">
        <v>45</v>
      </c>
      <c r="M144" s="34"/>
      <c r="N144" s="34"/>
    </row>
    <row r="145" spans="1:14" s="99" customFormat="1" ht="5.0999999999999996" customHeight="1" x14ac:dyDescent="0.25">
      <c r="A145" s="35"/>
      <c r="B145" s="221"/>
      <c r="C145" s="210"/>
      <c r="D145" s="40"/>
      <c r="E145" s="41"/>
      <c r="F145" s="41"/>
      <c r="G145" s="41"/>
      <c r="H145" s="39"/>
      <c r="I145" s="41"/>
      <c r="J145" s="41"/>
      <c r="K145" s="41"/>
      <c r="L145" s="54"/>
      <c r="M145" s="34"/>
      <c r="N145" s="34"/>
    </row>
    <row r="146" spans="1:14" s="99" customFormat="1" ht="5.0999999999999996" customHeight="1" x14ac:dyDescent="0.25">
      <c r="A146" s="35"/>
      <c r="B146" s="221"/>
      <c r="C146" s="209"/>
      <c r="D146" s="46"/>
      <c r="E146" s="49"/>
      <c r="F146" s="49"/>
      <c r="G146" s="49"/>
      <c r="H146" s="44"/>
      <c r="I146" s="49"/>
      <c r="J146" s="49"/>
      <c r="K146" s="49"/>
      <c r="L146" s="47"/>
      <c r="M146" s="34"/>
      <c r="N146" s="34"/>
    </row>
    <row r="147" spans="1:14" s="99" customFormat="1" ht="15.9" customHeight="1" x14ac:dyDescent="0.25">
      <c r="A147" s="35"/>
      <c r="B147" s="221"/>
      <c r="C147" s="209"/>
      <c r="D147" s="50" t="s">
        <v>54</v>
      </c>
      <c r="E147" s="49"/>
      <c r="F147" s="86">
        <v>10000</v>
      </c>
      <c r="G147" s="49"/>
      <c r="H147" s="118" t="s">
        <v>95</v>
      </c>
      <c r="I147" s="49"/>
      <c r="J147" s="52" t="s">
        <v>46</v>
      </c>
      <c r="K147" s="49"/>
      <c r="L147" s="53" t="s">
        <v>45</v>
      </c>
      <c r="M147" s="34"/>
      <c r="N147" s="34"/>
    </row>
    <row r="148" spans="1:14" s="99" customFormat="1" ht="5.0999999999999996" customHeight="1" x14ac:dyDescent="0.25">
      <c r="A148" s="35"/>
      <c r="B148" s="221"/>
      <c r="C148" s="210"/>
      <c r="D148" s="40"/>
      <c r="E148" s="41"/>
      <c r="F148" s="41"/>
      <c r="G148" s="41"/>
      <c r="H148" s="39"/>
      <c r="I148" s="41"/>
      <c r="J148" s="41"/>
      <c r="K148" s="41"/>
      <c r="L148" s="54"/>
      <c r="M148" s="34"/>
      <c r="N148" s="34"/>
    </row>
    <row r="149" spans="1:14" s="99" customFormat="1" ht="5.0999999999999996" customHeight="1" x14ac:dyDescent="0.25">
      <c r="A149" s="35"/>
      <c r="B149" s="221"/>
      <c r="C149" s="209"/>
      <c r="D149" s="46"/>
      <c r="E149" s="49"/>
      <c r="F149" s="49"/>
      <c r="G149" s="49"/>
      <c r="H149" s="44"/>
      <c r="I149" s="49"/>
      <c r="J149" s="49"/>
      <c r="K149" s="49"/>
      <c r="L149" s="47"/>
      <c r="M149" s="34"/>
      <c r="N149" s="34"/>
    </row>
    <row r="150" spans="1:14" s="99" customFormat="1" ht="15.9" customHeight="1" x14ac:dyDescent="0.25">
      <c r="A150" s="35"/>
      <c r="B150" s="221"/>
      <c r="C150" s="209"/>
      <c r="D150" s="50" t="s">
        <v>55</v>
      </c>
      <c r="E150" s="49"/>
      <c r="F150" s="90">
        <v>10000</v>
      </c>
      <c r="G150" s="49"/>
      <c r="H150" s="43" t="s">
        <v>45</v>
      </c>
      <c r="I150" s="49"/>
      <c r="J150" s="52" t="s">
        <v>46</v>
      </c>
      <c r="K150" s="49"/>
      <c r="L150" s="53" t="s">
        <v>45</v>
      </c>
      <c r="M150" s="34"/>
      <c r="N150" s="34"/>
    </row>
    <row r="151" spans="1:14" s="99" customFormat="1" ht="5.0999999999999996" customHeight="1" x14ac:dyDescent="0.25">
      <c r="A151" s="35"/>
      <c r="B151" s="221"/>
      <c r="C151" s="210"/>
      <c r="D151" s="40"/>
      <c r="E151" s="41"/>
      <c r="F151" s="41"/>
      <c r="G151" s="41"/>
      <c r="H151" s="39"/>
      <c r="I151" s="41"/>
      <c r="J151" s="41"/>
      <c r="K151" s="41"/>
      <c r="L151" s="54"/>
      <c r="M151" s="34"/>
      <c r="N151" s="34"/>
    </row>
    <row r="152" spans="1:14" s="99" customFormat="1" ht="5.0999999999999996" customHeight="1" x14ac:dyDescent="0.25">
      <c r="A152" s="35"/>
      <c r="B152" s="221"/>
      <c r="C152" s="209"/>
      <c r="D152" s="46"/>
      <c r="E152" s="49"/>
      <c r="F152" s="49"/>
      <c r="G152" s="49"/>
      <c r="H152" s="44"/>
      <c r="I152" s="49"/>
      <c r="J152" s="49"/>
      <c r="K152" s="49"/>
      <c r="L152" s="47"/>
      <c r="M152" s="34"/>
      <c r="N152" s="34"/>
    </row>
    <row r="153" spans="1:14" s="99" customFormat="1" ht="15.9" customHeight="1" x14ac:dyDescent="0.25">
      <c r="A153" s="35"/>
      <c r="B153" s="221"/>
      <c r="C153" s="209"/>
      <c r="D153" s="50" t="s">
        <v>56</v>
      </c>
      <c r="E153" s="49"/>
      <c r="F153" s="49"/>
      <c r="G153" s="49"/>
      <c r="H153" s="44"/>
      <c r="I153" s="49"/>
      <c r="J153" s="49"/>
      <c r="K153" s="49"/>
      <c r="L153" s="47"/>
      <c r="M153" s="34"/>
      <c r="N153" s="34"/>
    </row>
    <row r="154" spans="1:14" s="99" customFormat="1" ht="5.0999999999999996" customHeight="1" x14ac:dyDescent="0.25">
      <c r="A154" s="100"/>
      <c r="B154" s="221"/>
      <c r="C154" s="172"/>
      <c r="D154" s="175"/>
      <c r="E154" s="107"/>
      <c r="F154" s="107"/>
      <c r="G154" s="107"/>
      <c r="H154" s="104"/>
      <c r="I154" s="107"/>
      <c r="J154" s="107"/>
      <c r="K154" s="107"/>
      <c r="L154" s="106"/>
    </row>
    <row r="155" spans="1:14" s="99" customFormat="1" ht="15.75" customHeight="1" x14ac:dyDescent="0.25">
      <c r="A155" s="100"/>
      <c r="B155" s="221"/>
      <c r="C155" s="172"/>
      <c r="D155" s="113" t="s">
        <v>125</v>
      </c>
      <c r="E155" s="107"/>
      <c r="F155" s="192">
        <v>10000</v>
      </c>
      <c r="G155" s="107"/>
      <c r="H155" s="174" t="s">
        <v>45</v>
      </c>
      <c r="I155" s="107"/>
      <c r="J155" s="109" t="s">
        <v>46</v>
      </c>
      <c r="K155" s="107"/>
      <c r="L155" s="110" t="s">
        <v>45</v>
      </c>
    </row>
    <row r="156" spans="1:14" s="99" customFormat="1" ht="5.0999999999999996" customHeight="1" x14ac:dyDescent="0.25">
      <c r="A156" s="100"/>
      <c r="B156" s="221"/>
      <c r="C156" s="172"/>
      <c r="D156" s="112"/>
      <c r="E156" s="102"/>
      <c r="F156" s="102"/>
      <c r="G156" s="102"/>
      <c r="H156" s="101"/>
      <c r="I156" s="102"/>
      <c r="J156" s="102"/>
      <c r="K156" s="102"/>
      <c r="L156" s="173"/>
    </row>
    <row r="157" spans="1:14" ht="21.9" customHeight="1" x14ac:dyDescent="0.25">
      <c r="A157" s="35"/>
      <c r="B157" s="221"/>
      <c r="C157" s="45"/>
      <c r="D157" s="46"/>
      <c r="E157" s="46"/>
      <c r="F157" s="46"/>
      <c r="G157" s="46"/>
      <c r="H157" s="44"/>
      <c r="I157" s="46"/>
      <c r="J157" s="46"/>
      <c r="K157" s="46"/>
      <c r="L157" s="47"/>
    </row>
    <row r="158" spans="1:14" ht="5.0999999999999996" customHeight="1" thickBot="1" x14ac:dyDescent="0.3">
      <c r="A158" s="35"/>
      <c r="B158" s="231"/>
      <c r="C158" s="58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4" ht="24.6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4" ht="14.4" thickBo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 ht="28.35" customHeight="1" x14ac:dyDescent="0.25">
      <c r="A161" s="35"/>
      <c r="B161" s="214" t="s">
        <v>57</v>
      </c>
      <c r="C161" s="215"/>
      <c r="D161" s="215"/>
      <c r="E161" s="215"/>
      <c r="F161" s="215"/>
      <c r="G161" s="215"/>
      <c r="H161" s="215"/>
      <c r="I161" s="215"/>
      <c r="J161" s="215"/>
      <c r="K161" s="215"/>
      <c r="L161" s="216"/>
    </row>
    <row r="162" spans="1:12" ht="28.35" customHeight="1" x14ac:dyDescent="0.25">
      <c r="A162" s="35"/>
      <c r="B162" s="217"/>
      <c r="C162" s="218"/>
      <c r="D162" s="218"/>
      <c r="E162" s="218"/>
      <c r="F162" s="218"/>
      <c r="G162" s="218"/>
      <c r="H162" s="218"/>
      <c r="I162" s="218"/>
      <c r="J162" s="218"/>
      <c r="K162" s="218"/>
      <c r="L162" s="219"/>
    </row>
    <row r="163" spans="1:12" ht="21.9" customHeight="1" x14ac:dyDescent="0.25">
      <c r="A163" s="35"/>
      <c r="B163" s="220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7"/>
    </row>
    <row r="164" spans="1:12" ht="18" customHeight="1" x14ac:dyDescent="0.25">
      <c r="A164" s="35"/>
      <c r="B164" s="221"/>
      <c r="C164" s="38"/>
      <c r="D164" s="39"/>
      <c r="E164" s="211" t="s">
        <v>40</v>
      </c>
      <c r="F164" s="212"/>
      <c r="G164" s="213"/>
      <c r="H164" s="37" t="s">
        <v>41</v>
      </c>
      <c r="I164" s="211" t="s">
        <v>42</v>
      </c>
      <c r="J164" s="212"/>
      <c r="K164" s="213"/>
      <c r="L164" s="48" t="s">
        <v>41</v>
      </c>
    </row>
    <row r="165" spans="1:12" ht="5.0999999999999996" customHeight="1" x14ac:dyDescent="0.25">
      <c r="A165" s="35"/>
      <c r="B165" s="221"/>
      <c r="C165" s="208"/>
      <c r="D165" s="46"/>
      <c r="E165" s="49"/>
      <c r="F165" s="49"/>
      <c r="G165" s="49"/>
      <c r="H165" s="42"/>
      <c r="I165" s="49"/>
      <c r="J165" s="49"/>
      <c r="K165" s="49"/>
      <c r="L165" s="47"/>
    </row>
    <row r="166" spans="1:12" ht="15.9" customHeight="1" x14ac:dyDescent="0.25">
      <c r="A166" s="35"/>
      <c r="B166" s="221"/>
      <c r="C166" s="209"/>
      <c r="D166" s="50" t="s">
        <v>58</v>
      </c>
      <c r="E166" s="49"/>
      <c r="F166" s="78">
        <v>10000</v>
      </c>
      <c r="G166" s="75"/>
      <c r="H166" s="43" t="s">
        <v>45</v>
      </c>
      <c r="I166" s="49"/>
      <c r="J166" s="79" t="s">
        <v>46</v>
      </c>
      <c r="K166" s="49"/>
      <c r="L166" s="53" t="s">
        <v>69</v>
      </c>
    </row>
    <row r="167" spans="1:12" ht="5.0999999999999996" customHeight="1" x14ac:dyDescent="0.25">
      <c r="A167" s="35"/>
      <c r="B167" s="221"/>
      <c r="C167" s="210"/>
      <c r="D167" s="40"/>
      <c r="E167" s="41"/>
      <c r="F167" s="41"/>
      <c r="G167" s="41"/>
      <c r="H167" s="39"/>
      <c r="I167" s="41"/>
      <c r="J167" s="41"/>
      <c r="K167" s="41"/>
      <c r="L167" s="54"/>
    </row>
    <row r="168" spans="1:12" ht="5.0999999999999996" customHeight="1" x14ac:dyDescent="0.25">
      <c r="A168" s="35"/>
      <c r="B168" s="221"/>
      <c r="C168" s="209"/>
      <c r="D168" s="46"/>
      <c r="E168" s="49"/>
      <c r="F168" s="77"/>
      <c r="G168" s="49"/>
      <c r="H168" s="44"/>
      <c r="I168" s="49"/>
      <c r="J168" s="49"/>
      <c r="K168" s="49"/>
      <c r="L168" s="47"/>
    </row>
    <row r="169" spans="1:12" ht="15.9" customHeight="1" x14ac:dyDescent="0.25">
      <c r="A169" s="35"/>
      <c r="B169" s="221"/>
      <c r="C169" s="209"/>
      <c r="D169" s="50" t="s">
        <v>59</v>
      </c>
      <c r="E169" s="49"/>
      <c r="F169" s="74">
        <v>10000</v>
      </c>
      <c r="G169" s="75"/>
      <c r="H169" s="43" t="s">
        <v>45</v>
      </c>
      <c r="I169" s="49"/>
      <c r="J169" s="79" t="s">
        <v>46</v>
      </c>
      <c r="K169" s="49"/>
      <c r="L169" s="53" t="s">
        <v>69</v>
      </c>
    </row>
    <row r="170" spans="1:12" ht="5.0999999999999996" customHeight="1" x14ac:dyDescent="0.25">
      <c r="A170" s="35"/>
      <c r="B170" s="222"/>
      <c r="C170" s="210"/>
      <c r="D170" s="40"/>
      <c r="E170" s="41"/>
      <c r="F170" s="41"/>
      <c r="G170" s="41"/>
      <c r="H170" s="39"/>
      <c r="I170" s="41"/>
      <c r="J170" s="41"/>
      <c r="K170" s="41"/>
      <c r="L170" s="54"/>
    </row>
    <row r="171" spans="1:12" ht="21.9" customHeight="1" x14ac:dyDescent="0.25">
      <c r="A171" s="35"/>
      <c r="B171" s="220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7"/>
    </row>
    <row r="172" spans="1:12" ht="18" customHeight="1" x14ac:dyDescent="0.25">
      <c r="A172" s="35"/>
      <c r="B172" s="221"/>
      <c r="C172" s="38"/>
      <c r="D172" s="39"/>
      <c r="E172" s="211" t="s">
        <v>40</v>
      </c>
      <c r="F172" s="212"/>
      <c r="G172" s="213"/>
      <c r="H172" s="37" t="s">
        <v>41</v>
      </c>
      <c r="I172" s="211" t="s">
        <v>42</v>
      </c>
      <c r="J172" s="212"/>
      <c r="K172" s="213"/>
      <c r="L172" s="48" t="s">
        <v>41</v>
      </c>
    </row>
    <row r="173" spans="1:12" ht="5.0999999999999996" customHeight="1" x14ac:dyDescent="0.25">
      <c r="A173" s="35"/>
      <c r="B173" s="221"/>
      <c r="C173" s="208"/>
      <c r="D173" s="46"/>
      <c r="E173" s="49"/>
      <c r="F173" s="77"/>
      <c r="G173" s="49"/>
      <c r="H173" s="42"/>
      <c r="I173" s="49"/>
      <c r="J173" s="49"/>
      <c r="K173" s="49"/>
      <c r="L173" s="47"/>
    </row>
    <row r="174" spans="1:12" ht="15.9" customHeight="1" x14ac:dyDescent="0.25">
      <c r="A174" s="35"/>
      <c r="B174" s="221"/>
      <c r="C174" s="209"/>
      <c r="D174" s="50" t="s">
        <v>58</v>
      </c>
      <c r="E174" s="49"/>
      <c r="F174" s="76">
        <v>10000</v>
      </c>
      <c r="G174" s="75"/>
      <c r="H174" s="43" t="s">
        <v>45</v>
      </c>
      <c r="I174" s="49"/>
      <c r="J174" s="84" t="s">
        <v>46</v>
      </c>
      <c r="K174" s="49"/>
      <c r="L174" s="53" t="s">
        <v>69</v>
      </c>
    </row>
    <row r="175" spans="1:12" ht="5.0999999999999996" customHeight="1" x14ac:dyDescent="0.25">
      <c r="A175" s="35"/>
      <c r="B175" s="221"/>
      <c r="C175" s="210"/>
      <c r="D175" s="40"/>
      <c r="E175" s="41"/>
      <c r="F175" s="41"/>
      <c r="G175" s="41"/>
      <c r="H175" s="39"/>
      <c r="I175" s="41"/>
      <c r="J175" s="41"/>
      <c r="K175" s="41"/>
      <c r="L175" s="54"/>
    </row>
    <row r="176" spans="1:12" ht="5.0999999999999996" customHeight="1" x14ac:dyDescent="0.25">
      <c r="A176" s="35"/>
      <c r="B176" s="221"/>
      <c r="C176" s="209"/>
      <c r="D176" s="46"/>
      <c r="E176" s="49"/>
      <c r="F176" s="49"/>
      <c r="G176" s="49"/>
      <c r="H176" s="44"/>
      <c r="I176" s="49"/>
      <c r="J176" s="49"/>
      <c r="K176" s="49"/>
      <c r="L176" s="47"/>
    </row>
    <row r="177" spans="1:12" ht="15.9" customHeight="1" x14ac:dyDescent="0.25">
      <c r="A177" s="35"/>
      <c r="B177" s="221"/>
      <c r="C177" s="209"/>
      <c r="D177" s="50" t="s">
        <v>59</v>
      </c>
      <c r="E177" s="49"/>
      <c r="F177" s="74">
        <v>10000</v>
      </c>
      <c r="G177" s="75"/>
      <c r="H177" s="43" t="s">
        <v>45</v>
      </c>
      <c r="I177" s="49"/>
      <c r="J177" s="84" t="s">
        <v>46</v>
      </c>
      <c r="K177" s="49"/>
      <c r="L177" s="53" t="s">
        <v>69</v>
      </c>
    </row>
    <row r="178" spans="1:12" ht="5.0999999999999996" customHeight="1" thickBot="1" x14ac:dyDescent="0.3">
      <c r="A178" s="35"/>
      <c r="B178" s="231"/>
      <c r="C178" s="225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 ht="28.35" customHeight="1" x14ac:dyDescent="0.25">
      <c r="A181" s="35"/>
      <c r="B181" s="226" t="s">
        <v>60</v>
      </c>
      <c r="C181" s="227"/>
      <c r="D181" s="227"/>
      <c r="E181" s="227"/>
      <c r="F181" s="227"/>
      <c r="G181" s="227"/>
      <c r="H181" s="227"/>
      <c r="I181" s="227"/>
      <c r="J181" s="227"/>
      <c r="K181" s="227"/>
      <c r="L181" s="228"/>
    </row>
    <row r="182" spans="1:12" ht="18" customHeight="1" x14ac:dyDescent="0.25">
      <c r="A182" s="35"/>
      <c r="B182" s="229"/>
      <c r="C182" s="46"/>
      <c r="D182" s="46"/>
      <c r="E182" s="46"/>
      <c r="F182" s="46"/>
      <c r="G182" s="46"/>
      <c r="H182" s="46"/>
      <c r="I182" s="46"/>
      <c r="J182" s="46"/>
      <c r="K182" s="46"/>
      <c r="L182" s="44"/>
    </row>
    <row r="183" spans="1:12" ht="17.100000000000001" customHeight="1" x14ac:dyDescent="0.25">
      <c r="A183" s="35"/>
      <c r="B183" s="229"/>
      <c r="C183" s="38"/>
      <c r="D183" s="39"/>
      <c r="E183" s="211" t="s">
        <v>42</v>
      </c>
      <c r="F183" s="212"/>
      <c r="G183" s="213"/>
      <c r="H183" s="211" t="s">
        <v>41</v>
      </c>
      <c r="I183" s="212"/>
      <c r="J183" s="212"/>
      <c r="K183" s="212"/>
      <c r="L183" s="213"/>
    </row>
    <row r="184" spans="1:12" ht="5.0999999999999996" customHeight="1" x14ac:dyDescent="0.25">
      <c r="A184" s="35"/>
      <c r="B184" s="229"/>
      <c r="C184" s="208"/>
      <c r="D184" s="46"/>
      <c r="E184" s="49"/>
      <c r="F184" s="49"/>
      <c r="G184" s="49"/>
      <c r="H184" s="46"/>
      <c r="I184" s="46"/>
      <c r="J184" s="46"/>
      <c r="K184" s="46"/>
      <c r="L184" s="44"/>
    </row>
    <row r="185" spans="1:12" ht="15.75" customHeight="1" x14ac:dyDescent="0.25">
      <c r="A185" s="35"/>
      <c r="B185" s="229"/>
      <c r="C185" s="209"/>
      <c r="D185" s="50" t="s">
        <v>44</v>
      </c>
      <c r="E185" s="49"/>
      <c r="F185" s="52" t="s">
        <v>46</v>
      </c>
      <c r="G185" s="49"/>
      <c r="H185" s="223" t="s">
        <v>45</v>
      </c>
      <c r="I185" s="223"/>
      <c r="J185" s="223"/>
      <c r="K185" s="223"/>
      <c r="L185" s="224"/>
    </row>
    <row r="186" spans="1:12" ht="5.0999999999999996" customHeight="1" x14ac:dyDescent="0.25">
      <c r="A186" s="35"/>
      <c r="B186" s="229"/>
      <c r="C186" s="210"/>
      <c r="D186" s="40"/>
      <c r="E186" s="41"/>
      <c r="F186" s="41"/>
      <c r="G186" s="41"/>
      <c r="H186" s="40"/>
      <c r="I186" s="40"/>
      <c r="J186" s="40"/>
      <c r="K186" s="40"/>
      <c r="L186" s="39"/>
    </row>
    <row r="187" spans="1:12" ht="5.0999999999999996" customHeight="1" x14ac:dyDescent="0.25">
      <c r="A187" s="35"/>
      <c r="B187" s="229"/>
      <c r="C187" s="209"/>
      <c r="D187" s="46"/>
      <c r="E187" s="49"/>
      <c r="F187" s="49"/>
      <c r="G187" s="49"/>
      <c r="H187" s="46"/>
      <c r="I187" s="46"/>
      <c r="J187" s="46"/>
      <c r="K187" s="46"/>
      <c r="L187" s="44"/>
    </row>
    <row r="188" spans="1:12" ht="15.75" customHeight="1" x14ac:dyDescent="0.25">
      <c r="A188" s="35"/>
      <c r="B188" s="229"/>
      <c r="C188" s="209"/>
      <c r="D188" s="50" t="s">
        <v>61</v>
      </c>
      <c r="E188" s="49"/>
      <c r="F188" s="49"/>
      <c r="G188" s="49"/>
      <c r="H188" s="46"/>
      <c r="I188" s="46"/>
      <c r="J188" s="46"/>
      <c r="K188" s="46"/>
      <c r="L188" s="44"/>
    </row>
    <row r="189" spans="1:12" ht="21.9" customHeight="1" x14ac:dyDescent="0.25">
      <c r="A189" s="35"/>
      <c r="B189" s="229"/>
      <c r="C189" s="45"/>
      <c r="D189" s="46"/>
      <c r="E189" s="46"/>
      <c r="F189" s="46"/>
      <c r="G189" s="46"/>
      <c r="H189" s="46"/>
      <c r="I189" s="46"/>
      <c r="J189" s="46"/>
      <c r="K189" s="46"/>
      <c r="L189" s="44"/>
    </row>
    <row r="190" spans="1:12" ht="5.0999999999999996" customHeight="1" x14ac:dyDescent="0.25">
      <c r="A190" s="35"/>
      <c r="B190" s="230"/>
      <c r="C190" s="65"/>
      <c r="D190" s="40"/>
      <c r="E190" s="40"/>
      <c r="F190" s="40"/>
      <c r="G190" s="40"/>
      <c r="H190" s="40"/>
      <c r="I190" s="40"/>
      <c r="J190" s="40"/>
      <c r="K190" s="40"/>
      <c r="L190" s="39"/>
    </row>
    <row r="191" spans="1:12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</row>
    <row r="192" spans="1:12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</row>
    <row r="193" spans="1:12" ht="28.3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 ht="28.3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</row>
    <row r="195" spans="1:12" ht="18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</row>
    <row r="196" spans="1:12" ht="17.100000000000001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ht="5.0999999999999996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  <mergeCell ref="E136:G136"/>
    <mergeCell ref="I136:K136"/>
    <mergeCell ref="E55:G55"/>
    <mergeCell ref="C56:C58"/>
    <mergeCell ref="I30:K30"/>
    <mergeCell ref="B52:L52"/>
    <mergeCell ref="B53:L53"/>
    <mergeCell ref="B28:B48"/>
    <mergeCell ref="D37:D38"/>
    <mergeCell ref="C31:C33"/>
    <mergeCell ref="C34:C36"/>
    <mergeCell ref="C37:C38"/>
    <mergeCell ref="E30:G30"/>
    <mergeCell ref="B54:B134"/>
    <mergeCell ref="B135:B158"/>
    <mergeCell ref="C149:C151"/>
    <mergeCell ref="C146:C148"/>
    <mergeCell ref="C65:C67"/>
    <mergeCell ref="C68:C70"/>
    <mergeCell ref="C71:C72"/>
    <mergeCell ref="B182:B190"/>
    <mergeCell ref="B171:B178"/>
    <mergeCell ref="C143:C145"/>
    <mergeCell ref="C137:C139"/>
    <mergeCell ref="C140:C142"/>
    <mergeCell ref="C152:C153"/>
    <mergeCell ref="H185:L185"/>
    <mergeCell ref="C173:C175"/>
    <mergeCell ref="C176:C178"/>
    <mergeCell ref="E172:G172"/>
    <mergeCell ref="I172:K172"/>
    <mergeCell ref="B181:L181"/>
    <mergeCell ref="O7:O19"/>
    <mergeCell ref="O22:O29"/>
    <mergeCell ref="O33:O39"/>
    <mergeCell ref="C184:C186"/>
    <mergeCell ref="C187:C188"/>
    <mergeCell ref="E183:G183"/>
    <mergeCell ref="H183:L183"/>
    <mergeCell ref="B161:L161"/>
    <mergeCell ref="B162:L162"/>
    <mergeCell ref="C165:C167"/>
    <mergeCell ref="C168:C170"/>
    <mergeCell ref="E164:G164"/>
    <mergeCell ref="I164:K164"/>
    <mergeCell ref="B163:B170"/>
    <mergeCell ref="C59:C61"/>
    <mergeCell ref="C62:C6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4" name="cbApplyLevelFormatting"/>
      </mc:Fallback>
    </mc:AlternateContent>
    <mc:AlternateContent xmlns:mc="http://schemas.openxmlformats.org/markup-compatibility/2006">
      <mc:Choice Requires="x14">
        <control shapeId="4123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6" name="cbApplyMemberFormatting"/>
      </mc:Fallback>
    </mc:AlternateContent>
    <mc:AlternateContent xmlns:mc="http://schemas.openxmlformats.org/markup-compatibility/2006">
      <mc:Choice Requires="x14">
        <control shapeId="4141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4141" r:id="rId8" name="cbApplyOddEvenFormatting"/>
      </mc:Fallback>
    </mc:AlternateContent>
    <mc:AlternateContent xmlns:mc="http://schemas.openxmlformats.org/markup-compatibility/2006">
      <mc:Choice Requires="x14">
        <control shapeId="4149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4149" r:id="rId10" name="cbApplyPageHeader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198120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45720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45720</xdr:rowOff>
              </from>
              <to>
                <xdr:col>2</xdr:col>
                <xdr:colOff>1021080</xdr:colOff>
                <xdr:row>153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132</xdr:row>
                <xdr:rowOff>22860</xdr:rowOff>
              </from>
              <to>
                <xdr:col>3</xdr:col>
                <xdr:colOff>4290060</xdr:colOff>
                <xdr:row>132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2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126</xdr:row>
                <xdr:rowOff>45720</xdr:rowOff>
              </from>
              <to>
                <xdr:col>13</xdr:col>
                <xdr:colOff>266700</xdr:colOff>
                <xdr:row>127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130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3198"/>
  <sheetViews>
    <sheetView showGridLines="0" showRowColHeaders="0" tabSelected="1" topLeftCell="L38" zoomScale="70" zoomScaleNormal="70" workbookViewId="0">
      <selection activeCell="R39" sqref="R39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7.6640625" hidden="1" customWidth="1" outlineLevel="1"/>
    <col min="4" max="4" width="21.6640625" hidden="1" customWidth="1" outlineLevel="1"/>
    <col min="5" max="6" width="15.6640625" hidden="1" customWidth="1" outlineLevel="1"/>
    <col min="7" max="7" width="14.5546875" hidden="1" customWidth="1" outlineLevel="1"/>
    <col min="8" max="8" width="15" hidden="1" customWidth="1" outlineLevel="1"/>
    <col min="9" max="9" width="15.6640625" hidden="1" customWidth="1" outlineLevel="1"/>
    <col min="10" max="10" width="21.6640625" hidden="1" customWidth="1" outlineLevel="1"/>
    <col min="11" max="11" width="16.44140625" hidden="1" customWidth="1" outlineLevel="1"/>
    <col min="12" max="12" width="9.109375" customWidth="1" collapsed="1"/>
    <col min="13" max="13" width="11.5546875" hidden="1" customWidth="1"/>
    <col min="14" max="14" width="12.88671875" hidden="1" customWidth="1"/>
    <col min="15" max="15" width="12" hidden="1" customWidth="1"/>
    <col min="16" max="16" width="13.5546875" hidden="1" customWidth="1"/>
    <col min="17" max="17" width="13" bestFit="1" customWidth="1"/>
    <col min="18" max="18" width="75.5546875" customWidth="1"/>
    <col min="19" max="19" width="15" bestFit="1" customWidth="1"/>
    <col min="20" max="20" width="79.33203125" customWidth="1"/>
    <col min="21" max="21" width="16.88671875" bestFit="1" customWidth="1"/>
    <col min="22" max="22" width="70.5546875" customWidth="1"/>
    <col min="23" max="23" width="11.88671875" hidden="1" customWidth="1"/>
    <col min="24" max="24" width="21.33203125" hidden="1" customWidth="1"/>
    <col min="25" max="25" width="26.5546875" customWidth="1"/>
    <col min="26" max="26" width="25.6640625" customWidth="1"/>
    <col min="27" max="27" width="27.44140625" customWidth="1"/>
    <col min="28" max="28" width="29" customWidth="1"/>
    <col min="29" max="29" width="28.44140625" customWidth="1"/>
    <col min="30" max="30" width="26.44140625" customWidth="1"/>
    <col min="31" max="31" width="20" style="96" customWidth="1"/>
    <col min="32" max="32" width="24.5546875" customWidth="1"/>
    <col min="33" max="33" width="23.44140625" style="96" customWidth="1"/>
    <col min="34" max="34" width="88.44140625" customWidth="1"/>
    <col min="35" max="35" width="19.4414062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7"/>
      <c r="S1" s="2" t="s">
        <v>23</v>
      </c>
      <c r="T1" s="27" t="str">
        <f>IF(_epmOfflineCondition_,"2017",_xll.EPMMemberProperty($A$3,C9,"YEAR"))</f>
        <v>2017</v>
      </c>
      <c r="U1" s="27"/>
      <c r="V1" s="27"/>
      <c r="W1" s="27"/>
      <c r="X1" s="27"/>
      <c r="Y1" s="186" t="str">
        <f>CONCATENATE($C$9-2,".12")</f>
        <v>2015.12</v>
      </c>
      <c r="Z1" s="187" t="str">
        <f>$C$9</f>
        <v>2017</v>
      </c>
      <c r="AA1" s="186" t="str">
        <f>CONCATENATE($C$9-1,".06")</f>
        <v>2016.06</v>
      </c>
      <c r="AB1" s="186" t="str">
        <f>$C$9</f>
        <v>2017</v>
      </c>
      <c r="AC1" s="188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28"/>
      <c r="V2" s="28"/>
      <c r="W2" s="28"/>
      <c r="X2" s="28"/>
      <c r="Y2" s="189" t="s">
        <v>118</v>
      </c>
      <c r="Z2" s="189" t="s">
        <v>21</v>
      </c>
      <c r="AA2" s="189" t="s">
        <v>118</v>
      </c>
      <c r="AB2" s="189" t="s">
        <v>92</v>
      </c>
      <c r="AC2" s="189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29"/>
      <c r="V3" s="29"/>
      <c r="W3" s="29"/>
      <c r="X3" s="29"/>
      <c r="Y3" s="190" t="s">
        <v>119</v>
      </c>
      <c r="Z3" s="190" t="s">
        <v>26</v>
      </c>
      <c r="AA3" s="190" t="s">
        <v>119</v>
      </c>
      <c r="AB3" s="190" t="str">
        <f>$C$12</f>
        <v>VF</v>
      </c>
      <c r="AC3" s="191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E073I</v>
      </c>
      <c r="D4" s="21"/>
      <c r="E4" s="133" t="str">
        <f>IF(_epmOfflineCondition_,"E073I",_xll.EPMContextMember($A$3,B4))</f>
        <v>E073I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073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IF(_epmOfflineCondition_,"E073", _xll.EPMOlapMemberO(E6,"[ENTITAT].[PARENTH1].[E073]","E073","","000"))</f>
        <v>E073</v>
      </c>
      <c r="D6" s="8"/>
      <c r="E6" s="135" t="str">
        <f>IF(_epmOfflineCondition_,"E073","E"&amp;_xll.EPMMemberProperty($A$3,C8,"entitat"))</f>
        <v>E073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F073I</v>
      </c>
      <c r="D7" s="8"/>
      <c r="E7" s="72" t="str">
        <f>IF(_epmOfflineCondition_,"F073I",_xll.EPMContextMember($A$3,B7))</f>
        <v>F073I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073</v>
      </c>
    </row>
    <row r="8" spans="1:33" hidden="1" outlineLevel="1" x14ac:dyDescent="0.3">
      <c r="A8" s="6"/>
      <c r="B8" s="7" t="s">
        <v>19</v>
      </c>
      <c r="C8" s="170" t="str">
        <f>E8</f>
        <v>O073</v>
      </c>
      <c r="D8" s="8"/>
      <c r="E8" s="157" t="str">
        <f>$Q$40</f>
        <v>O073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IF(_epmOfflineCondition_,"073",_xll.EPMMemberProperty($A$3,C8,"entitat"))</f>
        <v>073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S40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/>
    <row r="16" spans="1:33" hidden="1" outlineLevel="1" x14ac:dyDescent="0.3"/>
    <row r="17" spans="1:31" hidden="1" outlineLevel="1" x14ac:dyDescent="0.3"/>
    <row r="18" spans="1:31" ht="15" hidden="1" outlineLevel="1" thickBot="1" x14ac:dyDescent="0.35"/>
    <row r="19" spans="1:31" hidden="1" outlineLevel="1" x14ac:dyDescent="0.3">
      <c r="A19" s="140"/>
      <c r="B19" s="243" t="s">
        <v>103</v>
      </c>
      <c r="C19" s="244"/>
      <c r="D19" s="243"/>
      <c r="E19" s="244"/>
    </row>
    <row r="20" spans="1:31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1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1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$AI$91</v>
      </c>
      <c r="D22" s="147">
        <f>SUMPRODUCT(MAX((ROW(Q:Q )*(Q:Q &lt;&gt;""))))</f>
        <v>91</v>
      </c>
      <c r="E22" s="13">
        <f>SUMPRODUCT(MAX((COLUMN(48:48 )*(48:48 &lt;&gt;""))))</f>
        <v>35</v>
      </c>
    </row>
    <row r="23" spans="1:31" ht="15" hidden="1" outlineLevel="1" thickBot="1" x14ac:dyDescent="0.35">
      <c r="A23" s="148"/>
      <c r="B23" s="29" t="s">
        <v>107</v>
      </c>
      <c r="C23" s="149" t="s">
        <v>108</v>
      </c>
    </row>
    <row r="24" spans="1:31" hidden="1" outlineLevel="1" x14ac:dyDescent="0.3">
      <c r="A24" s="150" t="s">
        <v>87</v>
      </c>
      <c r="B24" s="151" t="str">
        <f>ADDRESS(50,MATCH(A24,$50:$50,0))</f>
        <v>$AH$50</v>
      </c>
      <c r="C24" s="152">
        <f>MATCH(A24,$50:$50,0)</f>
        <v>34</v>
      </c>
    </row>
    <row r="25" spans="1:31" hidden="1" outlineLevel="1" x14ac:dyDescent="0.3">
      <c r="A25" s="150" t="s">
        <v>88</v>
      </c>
      <c r="B25" s="151" t="str">
        <f>ADDRESS(50,MATCH(A25,$50:$50,0))</f>
        <v>$AI$50</v>
      </c>
      <c r="C25" s="152">
        <f>MATCH(A25,$50:$50,0)</f>
        <v>35</v>
      </c>
      <c r="AE25"/>
    </row>
    <row r="26" spans="1:31" hidden="1" outlineLevel="1" x14ac:dyDescent="0.3">
      <c r="AE26"/>
    </row>
    <row r="27" spans="1:31" hidden="1" outlineLevel="1" x14ac:dyDescent="0.3">
      <c r="AE27"/>
    </row>
    <row r="28" spans="1:31" hidden="1" outlineLevel="1" x14ac:dyDescent="0.3">
      <c r="AE28"/>
    </row>
    <row r="29" spans="1:31" ht="15" hidden="1" outlineLevel="1" thickBot="1" x14ac:dyDescent="0.35">
      <c r="A29" s="183"/>
      <c r="B29" s="183"/>
      <c r="AE29"/>
    </row>
    <row r="30" spans="1:31" hidden="1" outlineLevel="1" x14ac:dyDescent="0.3">
      <c r="A30" s="184" t="s">
        <v>124</v>
      </c>
      <c r="B30" s="185" t="str">
        <f>IF(_epmOfflineCondition_,"2017",_xll.EPMMemberDesc(A30,$A$3))</f>
        <v>2017</v>
      </c>
      <c r="AE30"/>
    </row>
    <row r="31" spans="1:31" hidden="1" outlineLevel="1" x14ac:dyDescent="0.3"/>
    <row r="32" spans="1:31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6">
        <f>IF(F8=0,1,0)</f>
        <v>1</v>
      </c>
      <c r="R39" s="123" t="s">
        <v>96</v>
      </c>
      <c r="S39" s="156">
        <f>IF(F9=0,1,0)</f>
        <v>1</v>
      </c>
      <c r="T39" s="123" t="s">
        <v>97</v>
      </c>
      <c r="U39" s="156">
        <f>IF(F12=0,1,0)</f>
        <v>1</v>
      </c>
      <c r="V39" s="123" t="s">
        <v>25</v>
      </c>
      <c r="Y39" s="122"/>
      <c r="Z39" s="252" t="s">
        <v>99</v>
      </c>
      <c r="AA39" s="253"/>
    </row>
    <row r="40" spans="17:103" x14ac:dyDescent="0.3">
      <c r="Q40" s="124" t="str">
        <f>IF(_epmOfflineCondition_,"O073",_xll.EPMContextMember($A$3,$B$8))</f>
        <v>O073</v>
      </c>
      <c r="R40" s="125" t="str">
        <f>IF(_epmOfflineCondition_,"Consorci del Besòs",_xll.EPMMemberProperty($A$3,$Q$40,$T$4))</f>
        <v>Consorci del Besòs</v>
      </c>
      <c r="S40" s="126" t="str">
        <f>IF(_epmOfflineCondition_,"2017",_xll.EPMContextMember($A$3,$B$9,$D$9))</f>
        <v>2017</v>
      </c>
      <c r="T40" s="125" t="str">
        <f>IF(_epmOfflineCondition_,"2017",_xll.EPMMemberDesc(S40,$A$3))</f>
        <v>2017</v>
      </c>
      <c r="U40" s="127" t="str">
        <f>$E$12</f>
        <v>VF</v>
      </c>
      <c r="V40" s="125" t="str">
        <f>IF(_epmOfflineCondition_,"Pressupost aprovat",_xll.EPMMemberDesc(U40,$A$3))</f>
        <v>Pressupost aprovat</v>
      </c>
      <c r="Y40" s="153" t="str">
        <f>$E$6</f>
        <v>E073</v>
      </c>
      <c r="Z40" s="254" t="str">
        <f>IF(_epmOfflineCondition_,"Consorci del Besòs",_xll.EPMMemberDesc(Y40,$A$3))</f>
        <v>Consorci del Besòs</v>
      </c>
      <c r="AA40" s="255"/>
    </row>
    <row r="42" spans="17:103" x14ac:dyDescent="0.3">
      <c r="V42" s="256" t="str">
        <f>IF(F3&lt;&gt;0,"       Realitzi una selecció vàlida","")</f>
        <v/>
      </c>
      <c r="W42" s="256"/>
      <c r="X42" s="256"/>
    </row>
    <row r="43" spans="17:103" ht="12" customHeight="1" x14ac:dyDescent="0.3"/>
    <row r="44" spans="17:103" x14ac:dyDescent="0.3">
      <c r="AC44" s="96"/>
      <c r="AG44"/>
    </row>
    <row r="45" spans="17:103" ht="15" customHeight="1" x14ac:dyDescent="0.3">
      <c r="Q45" s="248" t="s">
        <v>121</v>
      </c>
      <c r="R45" s="249"/>
      <c r="S45" s="248" t="s">
        <v>115</v>
      </c>
      <c r="T45" s="249"/>
      <c r="U45" s="248" t="s">
        <v>113</v>
      </c>
      <c r="V45" s="249"/>
      <c r="W45" s="248" t="s">
        <v>112</v>
      </c>
      <c r="X45" s="249"/>
      <c r="Y45" s="162" t="str">
        <f>Y1</f>
        <v>2015.12</v>
      </c>
      <c r="Z45" s="162">
        <f>Z1-1</f>
        <v>2016</v>
      </c>
      <c r="AA45" s="162" t="str">
        <f>$AA$1</f>
        <v>2016.06</v>
      </c>
      <c r="AB45" s="257" t="str">
        <f>C9</f>
        <v>2017</v>
      </c>
      <c r="AC45" s="258"/>
      <c r="AD45" s="258"/>
      <c r="AE45" s="258"/>
      <c r="AF45" s="258"/>
      <c r="AG45" s="258"/>
      <c r="AH45" s="163"/>
      <c r="AI45" s="241" t="s">
        <v>109</v>
      </c>
    </row>
    <row r="46" spans="17:103" ht="26.25" customHeight="1" x14ac:dyDescent="0.3">
      <c r="Q46" s="250"/>
      <c r="R46" s="251"/>
      <c r="S46" s="250"/>
      <c r="T46" s="251"/>
      <c r="U46" s="250"/>
      <c r="V46" s="251"/>
      <c r="W46" s="250"/>
      <c r="X46" s="251"/>
      <c r="Y46" s="162" t="s">
        <v>117</v>
      </c>
      <c r="Z46" s="162" t="s">
        <v>120</v>
      </c>
      <c r="AA46" s="162" t="s">
        <v>117</v>
      </c>
      <c r="AB46" s="162" t="s">
        <v>27</v>
      </c>
      <c r="AC46" s="162" t="s">
        <v>28</v>
      </c>
      <c r="AD46" s="162" t="s">
        <v>85</v>
      </c>
      <c r="AE46" s="164" t="s">
        <v>86</v>
      </c>
      <c r="AF46" s="162" t="str">
        <f>"Variació "&amp; X45</f>
        <v xml:space="preserve">Variació </v>
      </c>
      <c r="AG46" s="164" t="str">
        <f>"% Variació "&amp;X45</f>
        <v xml:space="preserve">% Variació </v>
      </c>
      <c r="AH46" s="164" t="s">
        <v>87</v>
      </c>
      <c r="AI46" s="242"/>
    </row>
    <row r="47" spans="17:103" ht="3.75" customHeight="1" x14ac:dyDescent="0.3"/>
    <row r="48" spans="17:103" hidden="1" x14ac:dyDescent="0.3">
      <c r="Q48" s="109" t="str">
        <f>IF(_epmOfflineCondition_,"", _xll.EPMOlapMemberO("[Blank Member]","","","","000"))</f>
        <v/>
      </c>
      <c r="R48" s="109" t="str">
        <f>IF(_epmOfflineCondition_,"", _xll.EPMOlapMemberO("[Blank Member]","","","","000"))</f>
        <v/>
      </c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IF(_epmOfflineCondition_,"", _xll.EPMOlapMemberO("[Blank Member]","","","","000"))</f>
        <v/>
      </c>
      <c r="V48" t="str">
        <f>IF(_epmOfflineCondition_,"", _xll.EPMOlapMemberO("[Blank Member]","","","","000"))</f>
        <v/>
      </c>
      <c r="W48" t="str">
        <f>IF(_epmOfflineCondition_,"", _xll.EPMOlapMemberO("[Blank Member]","","","","000"))</f>
        <v/>
      </c>
      <c r="X48" t="str">
        <f>IF(_epmOfflineCondition_,"", _xll.EPMOlapMemberO("[Blank Member]","","","","000"))</f>
        <v/>
      </c>
      <c r="Y48" s="109" t="str">
        <f>IF(_epmOfflineCondition_,"2015.12", _xll.EPMOlapMemberO($Y$1,"[PERIODE].[PARENTH1].[2015.12]","2015.12","","000"))</f>
        <v>2015.12</v>
      </c>
      <c r="Z48" s="109" t="str">
        <f>IF(_epmOfflineCondition_,"2017", _xll.EPMOlapMemberO($Z$1,"[PERIODE].[PARENTH1].[2017]","2017","","000"))</f>
        <v>2017</v>
      </c>
      <c r="AA48" s="109" t="str">
        <f>IF(_epmOfflineCondition_,"2016.06", _xll.EPMOlapMemberO($AA$1,"[PERIODE].[PARENTH1].[2016.06]","2016.06","","000"))</f>
        <v>2016.06</v>
      </c>
      <c r="AB48" s="109" t="str">
        <f>IF(_epmOfflineCondition_,"2017", _xll.EPMOlapMemberO($AB$1,"[PERIODE].[PARENTH1].[2017]","2017","","000"))</f>
        <v>2017</v>
      </c>
      <c r="AC48" s="109" t="str">
        <f>IF(_epmOfflineCondition_,"2017", _xll.EPMOlapMemberO($AC$1,"[PERIODE].[PARENTH1].[2017]","2017","","000"))</f>
        <v>2017</v>
      </c>
      <c r="AD48" s="109" t="str">
        <f>IF(_epmOfflineCondition_,"2017", _xll.EPMOlapMemberO($AC$1,"[PERIODE].[PARENTH1].[2017]","2017","","000"))</f>
        <v>2017</v>
      </c>
      <c r="AE48" s="109" t="str">
        <f>IF(_epmOfflineCondition_,"2017", _xll.EPMOlapMemberO($AC$1,"[PERIODE].[PARENTH1].[2017]","2017","","000"))</f>
        <v>2017</v>
      </c>
      <c r="AF48" s="109" t="str">
        <f>IF(_epmOfflineCondition_,"2017", _xll.EPMOlapMemberO($AC$1,"[PERIODE].[PARENTH1].[2017]","2017","","000"))</f>
        <v>2017</v>
      </c>
      <c r="AG48" s="109" t="str">
        <f>IF(_epmOfflineCondition_,"2017", _xll.EPMOlapMemberO($AC$1,"[PERIODE].[PARENTH1].[2017]","2017","","000"))</f>
        <v>2017</v>
      </c>
      <c r="AH48" s="109" t="str">
        <f>IF(_epmOfflineCondition_,"2017", _xll.EPMOlapMemberO($AC$1,"[PERIODE].[PARENTH1].[2017]","2017","","000"))</f>
        <v>2017</v>
      </c>
      <c r="AI48" s="109" t="str">
        <f>IF(_epmOfflineCondition_,"2017", _xll.EPMOlapMemberO($AC$1,"[PERIODE].[PARENTH1].[2017]","2017","","000"))</f>
        <v>2017</v>
      </c>
      <c r="AJ48" s="96"/>
      <c r="AL48" s="109"/>
      <c r="AM48" s="109"/>
      <c r="AN48" s="109"/>
      <c r="AO48" s="109"/>
      <c r="AP48" s="109"/>
      <c r="AQ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</row>
    <row r="49" spans="13:36" hidden="1" x14ac:dyDescent="0.3">
      <c r="P49" s="25"/>
      <c r="Q49" s="109" t="str">
        <f>IF(_epmOfflineCondition_,"", _xll.EPMOlapMemberO("[Blank Member]","","","","000"))</f>
        <v/>
      </c>
      <c r="R49" s="109" t="str">
        <f>IF(_epmOfflineCondition_,"", _xll.EPMOlapMemberO("[Blank Member]","","","","000"))</f>
        <v/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IF(_epmOfflineCondition_,"", _xll.EPMOlapMemberO("[Blank Member]","","","","000"))</f>
        <v/>
      </c>
      <c r="V49" t="str">
        <f>IF(_epmOfflineCondition_,"", _xll.EPMOlapMemberO("[Blank Member]","","","","000"))</f>
        <v/>
      </c>
      <c r="W49" t="str">
        <f>IF(_epmOfflineCondition_,"", _xll.EPMOlapMemberO("[Blank Member]","","","","000"))</f>
        <v/>
      </c>
      <c r="X49" t="str">
        <f>IF(_epmOfflineCondition_,"", _xll.EPMOlapMemberO("[Blank Member]","","","","000"))</f>
        <v/>
      </c>
      <c r="Y49" s="109" t="str">
        <f>IF(_epmOfflineCondition_,"TINGEXCECRI", _xll.EPMOlapMemberO($Y$2,"[TIPUS_DATO].[PARENTH1].[TINGEXCECRI]","TINGEXCECRI - Reconeixement_RI","","000"))</f>
        <v>TINGEXCECRI</v>
      </c>
      <c r="Z49" s="109" t="str">
        <f>IF(_epmOfflineCondition_,"TICREDINI", _xll.EPMOlapMemberO($Z$2,"[TIPUS_DATO].[PARENTH1].[TICREDINI]","TICREDINI - Crèdit Inicial EXERCICI -1","","000"))</f>
        <v>TICREDINI</v>
      </c>
      <c r="AA49" s="109" t="str">
        <f>IF(_epmOfflineCondition_,"TINGEXCECRI", _xll.EPMOlapMemberO($AA$2,"[TIPUS_DATO].[PARENTH1].[TINGEXCECRI]","TINGEXCECRI - Reconeixement_RI","","000"))</f>
        <v>TINGEXCECRI</v>
      </c>
      <c r="AB49" s="109" t="str">
        <f>IF(_epmOfflineCondition_,"TIPREMAN", _xll.EPMOlapMemberO($AB$2,"[TIPUS_DATO].[PARENTH1].[TIPREMAN]","TIPREMAN - Pressupost manual","","000"))</f>
        <v>TIPREMAN</v>
      </c>
      <c r="AC49" s="109" t="str">
        <f>IF(_epmOfflineCondition_,"TIPRETOT", _xll.EPMOlapMemberO($AC$2,"[TIPUS_DATO].[PARENTH1].[TIPRETOT]","TIPRETOT - Pressupost total","","000"))</f>
        <v>TIPRETOT</v>
      </c>
      <c r="AD49" s="109" t="str">
        <f>IF(_epmOfflineCondition_,"TIPRETOT", _xll.EPMOlapMemberO($AC$2,"[TIPUS_DATO].[PARENTH1].[TIPRETOT]","TIPRETOT - Pressupost total","","000"))</f>
        <v>TIPRETOT</v>
      </c>
      <c r="AE49" s="109" t="str">
        <f>IF(_epmOfflineCondition_,"TIPRETOT", _xll.EPMOlapMemberO($AC$2,"[TIPUS_DATO].[PARENTH1].[TIPRETOT]","TIPRETOT - Pressupost total","","000"))</f>
        <v>TIPRETOT</v>
      </c>
      <c r="AF49" s="109" t="str">
        <f>IF(_epmOfflineCondition_,"TIPRETOT", _xll.EPMOlapMemberO($AC$2,"[TIPUS_DATO].[PARENTH1].[TIPRETOT]","TIPRETOT - Pressupost total","","000"))</f>
        <v>TIPRETOT</v>
      </c>
      <c r="AG49" s="109" t="str">
        <f>IF(_epmOfflineCondition_,"TIPRETOT", _xll.EPMOlapMemberO($AC$2,"[TIPUS_DATO].[PARENTH1].[TIPRETOT]","TIPRETOT - Pressupost total","","000"))</f>
        <v>TIPRETOT</v>
      </c>
      <c r="AH49" s="109" t="str">
        <f>IF(_epmOfflineCondition_,"TIPRETOT", _xll.EPMOlapMemberO($AC$2,"[TIPUS_DATO].[PARENTH1].[TIPRETOT]","TIPRETOT - Pressupost total","","000"))</f>
        <v>TIPRETOT</v>
      </c>
      <c r="AI49" s="109" t="str">
        <f>IF(_epmOfflineCondition_,"TIPRETOT", _xll.EPMOlapMemberO($AC$2,"[TIPUS_DATO].[PARENTH1].[TIPRETOT]","TIPRETOT - Pressupost total","","000"))</f>
        <v>TIPRETOT</v>
      </c>
      <c r="AJ49" s="96"/>
    </row>
    <row r="50" spans="13:36" hidden="1" x14ac:dyDescent="0.3">
      <c r="P50" s="26"/>
      <c r="Q50" s="109" t="str">
        <f>IF(_epmOfflineCondition_,"ID ORGANIC", _xll.FPMXLClient.TechnicalCategory.EPMLocalMember("ID ORGANIC","013","000"))</f>
        <v>ID ORGANIC</v>
      </c>
      <c r="R50" s="109" t="str">
        <f>IF(_epmOfflineCondition_,"DESC ORGANIC", _xll.FPMXLClient.TechnicalCategory.EPMLocalMember("DESC ORGANIC","014","000"))</f>
        <v>DESC ORGANIC</v>
      </c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IF(_epmOfflineCondition_,"ID FUNCIONAL", _xll.FPMXLClient.TechnicalCategory.EPMLocalMember("ID FUNCIONAL","002","000"))</f>
        <v>ID FUNCIONAL</v>
      </c>
      <c r="V50" t="str">
        <f>IF(_epmOfflineCondition_,"DESC FUNCIONAL", _xll.FPMXLClient.TechnicalCategory.EPMLocalMember("DESC FUNCIONAL","003","000"))</f>
        <v>DESC FUNCIONAL</v>
      </c>
      <c r="W50" t="str">
        <f>IF(_epmOfflineCondition_,"ID PROJECTS", _xll.FPMXLClient.TechnicalCategory.EPMLocalMember("ID PROJECTS","004","000"))</f>
        <v>ID PROJECTS</v>
      </c>
      <c r="X50" t="str">
        <f>IF(_epmOfflineCondition_,"DESC PROJECTS", _xll.FPMXLClient.TechnicalCategory.EPMLocalMember("DESC PROJECTS","005","000"))</f>
        <v>DESC PROJECTS</v>
      </c>
      <c r="Y50" s="109" t="str">
        <f>IF(_epmOfflineCondition_,"V1_C", _xll.EPMOlapMemberO($Y$3,"[VERSIO].[PARENTH1].[V1_C]","V1_C - Executat","","000"))</f>
        <v>V1_C</v>
      </c>
      <c r="Z50" s="109" t="str">
        <f>IF(_epmOfflineCondition_,"VCARG", _xll.EPMOlapMemberO($Z$3,"[VERSIO].[PARENTH1].[VCARG]","VCARG - Crédits Inicials i plurianuals EcoFin","","000"))</f>
        <v>VCARG</v>
      </c>
      <c r="AA50" s="109" t="str">
        <f>IF(_epmOfflineCondition_,"V1_C", _xll.EPMOlapMemberO($AA$3,"[VERSIO].[PARENTH1].[V1_C]","V1_C - Executat","","000"))</f>
        <v>V1_C</v>
      </c>
      <c r="AB50" s="109" t="str">
        <f>IF(_epmOfflineCondition_,"VF", _xll.EPMOlapMemberO($AB$3,"[VERSIO].[PARENTH1].[VF]","VF - Pressupost aprovat","","000"))</f>
        <v>VF</v>
      </c>
      <c r="AC50" s="109" t="str">
        <f>IF(_epmOfflineCondition_,"VF", _xll.EPMOlapMemberO($AC$3,"[VERSIO].[PARENTH1].[VF]","VF - Pressupost aprovat","","000"))</f>
        <v>VF</v>
      </c>
      <c r="AD50" s="109" t="str">
        <f>IF(_epmOfflineCondition_,"Variació Base", _xll.FPMXLClient.TechnicalCategory.EPMLocalMember("Variació Base","007","000"))</f>
        <v>Variació Base</v>
      </c>
      <c r="AE50" s="109" t="str">
        <f>IF(_epmOfflineCondition_,"% de Variació Base", _xll.FPMXLClient.TechnicalCategory.EPMLocalMember("% de Variació Base","008","000"))</f>
        <v>% de Variació Base</v>
      </c>
      <c r="AF50" s="109" t="str">
        <f>IF(_epmOfflineCondition_,"Variació XXXX", _xll.FPMXLClient.TechnicalCategory.EPMLocalMember("Variació XXXX","009","000"))</f>
        <v>Variació XXXX</v>
      </c>
      <c r="AG50" s="109" t="str">
        <f>IF(_epmOfflineCondition_,"% Variació XXXX", _xll.FPMXLClient.TechnicalCategory.EPMLocalMember("% Variació XXXX","010","000"))</f>
        <v>% Variació XXXX</v>
      </c>
      <c r="AH50" s="109" t="str">
        <f>IF(_epmOfflineCondition_,"Comentaris", _xll.FPMXLClient.TechnicalCategory.EPMLocalMember("Comentaris","011","000"))</f>
        <v>Comentaris</v>
      </c>
      <c r="AI50" s="109" t="str">
        <f>IF(_epmOfflineCondition_,"Savecomment", _xll.FPMXLClient.TechnicalCategory.EPMLocalMember("Savecomment","006","000"))</f>
        <v>Savecomment</v>
      </c>
      <c r="AJ50" s="96"/>
    </row>
    <row r="51" spans="13:36" x14ac:dyDescent="0.3">
      <c r="M51" s="109" t="str">
        <f>IF(_epmOfflineCondition_,"O0730100", _xll.EPMOlapMemberO("[ORGANIC_D].[PARENTH1].[O0730100]","","O0730100","","000"))</f>
        <v>O0730100</v>
      </c>
      <c r="N51" s="109" t="str">
        <f>IF(_epmOfflineCondition_,"E073I32301", _xll.EPMOlapMemberO("[ECONOMIC_D].[PARENTH1].[E073I32301]","","E073I32301","","000"))</f>
        <v>E073I32301</v>
      </c>
      <c r="O51" s="109" t="str">
        <f>IF(_epmOfflineCondition_,"F073I92000", _xll.EPMOlapMemberO("[FUNCTIONAL_D].[PARENTH1].[F073I92000]","","F073I92000","","000"))</f>
        <v>F073I92000</v>
      </c>
      <c r="P51" s="205" t="str">
        <f>IF(_epmOfflineCondition_,"PRDUMMY", _xll.EPMOlapMemberO("[PROJECTS_D].[PARENTH1].[PRDUMMY]","","PRDUMMY","","000"))</f>
        <v>PRDUMMY</v>
      </c>
      <c r="Q51" s="154" t="str">
        <f>IF(P51="TOTAL", "TOTAL", IF(M51="ORDUMMY", "", MID(M51, 5, LEN(M51))))</f>
        <v>0100</v>
      </c>
      <c r="R51" s="154" t="str">
        <f>IF(_epmOfflineCondition_,"Consorci del Besos",IF(P51="TOTAL", " ", _xll.EPMMemberProperty($A$3, M51, $T$4)))</f>
        <v>Consorci del Besos</v>
      </c>
      <c r="S51" s="201" t="str">
        <f>IF(P51="TOTAL", " ", IF(N51="ECDUMMY", "", MID(N51, 6, LEN(N51))))</f>
        <v>32301</v>
      </c>
      <c r="T51" s="201" t="str">
        <f>IF(_epmOfflineCondition_,"TAXES PER ALTRES SERVEIS URBANÍSTICS",IF(P51="TOTAL", " ", _xll.EPMMemberProperty($A$3, N51, $T$4)))</f>
        <v>TAXES PER ALTRES SERVEIS URBANÍSTICS</v>
      </c>
      <c r="U51" s="201" t="str">
        <f>IF(P51="TOTAL", " ", IF(O51="FUDUMMY", "", MID(O51, 6, LEN(O51))))</f>
        <v>92000</v>
      </c>
      <c r="V51" s="201" t="str">
        <f>IF(_epmOfflineCondition_,"Serveis de caràcter general",IF(P51="TOTAL", " ", _xll.EPMMemberProperty($A$3, O51, $T$4)))</f>
        <v>Serveis de caràcter general</v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2"/>
      <c r="Z51" s="202"/>
      <c r="AA51" s="132"/>
      <c r="AB51" s="85">
        <v>1</v>
      </c>
      <c r="AC51" s="202">
        <f>SUM(AB51)</f>
        <v>1</v>
      </c>
      <c r="AD51" s="171">
        <f>AC51-Z51</f>
        <v>1</v>
      </c>
      <c r="AE51" s="204">
        <f>IFERROR((AC51-Z51)/Z51,0)</f>
        <v>0</v>
      </c>
      <c r="AF51" s="171">
        <f>AC51-Y51</f>
        <v>1</v>
      </c>
      <c r="AG51" s="204">
        <f>IFERROR((AC51-Y51)/Y51,0)</f>
        <v>0</v>
      </c>
      <c r="AH51" s="203" t="s">
        <v>135</v>
      </c>
      <c r="AI51" s="202" t="str">
        <f>IF(_epmOfflineCondition_,"0,00%",IF(P51="TOTAL", "", _xll.EPMSaveComment(AH51, $A$3, N51, O51, P51, $E$5, $C$6, M51, $C$9, "TIPRETOT","VF", $C$13, $C$14)))</f>
        <v>0,00%</v>
      </c>
      <c r="AJ51" s="96"/>
    </row>
    <row r="52" spans="13:36" x14ac:dyDescent="0.3">
      <c r="M52" s="109" t="str">
        <f>IF(_epmOfflineCondition_,"O0730100", _xll.EPMOlapMemberO("[ORGANIC_D].[PARENTH1].[O0730100]","","O0730100","","000"))</f>
        <v>O0730100</v>
      </c>
      <c r="N52" s="109" t="str">
        <f>IF(_epmOfflineCondition_,"E073I32500", _xll.EPMOlapMemberO("[ECONOMIC_D].[PARENTH1].[E073I32500]","","E073I32500","","000"))</f>
        <v>E073I32500</v>
      </c>
      <c r="O52" s="109" t="str">
        <f>IF(_epmOfflineCondition_,"F073I92000", _xll.EPMOlapMemberO("[FUNCTIONAL_D].[PARENTH1].[F073I92000]","","F073I92000","","000"))</f>
        <v>F073I92000</v>
      </c>
      <c r="P52" s="205" t="str">
        <f>IF(_epmOfflineCondition_,"PRDUMMY", _xll.EPMOlapMemberO("[PROJECTS_D].[PARENTH1].[PRDUMMY]","","PRDUMMY","","000"))</f>
        <v>PRDUMMY</v>
      </c>
      <c r="Q52" s="154" t="str">
        <f t="shared" ref="Q52:Q91" si="2">IF(P52="TOTAL", "TOTAL", IF(M52="ORDUMMY", "", MID(M52, 5, LEN(M52))))</f>
        <v>0100</v>
      </c>
      <c r="R52" s="154" t="str">
        <f>IF(_epmOfflineCondition_,"Consorci del Besos",IF(P52="TOTAL", " ", _xll.EPMMemberProperty($A$3, M52, $T$4)))</f>
        <v>Consorci del Besos</v>
      </c>
      <c r="S52" s="201" t="str">
        <f t="shared" ref="S52:S91" si="3">IF(P52="TOTAL", " ", IF(N52="ECDUMMY", "", MID(N52, 6, LEN(N52))))</f>
        <v>32500</v>
      </c>
      <c r="T52" s="201" t="str">
        <f>IF(_epmOfflineCondition_,"TAXA PER EXPEDICIÓ DE DOC",IF(P52="TOTAL", " ", _xll.EPMMemberProperty($A$3, N52, $T$4)))</f>
        <v>TAXA PER EXPEDICIÓ DE DOC</v>
      </c>
      <c r="U52" s="201" t="str">
        <f t="shared" ref="U52:U91" si="4">IF(P52="TOTAL", " ", IF(O52="FUDUMMY", "", MID(O52, 6, LEN(O52))))</f>
        <v>92000</v>
      </c>
      <c r="V52" s="201" t="str">
        <f>IF(_epmOfflineCondition_,"Serveis de caràcter general",IF(P52="TOTAL", " ", _xll.EPMMemberProperty($A$3, O52, $T$4)))</f>
        <v>Serveis de caràcter general</v>
      </c>
      <c r="W52" s="201" t="str">
        <f t="shared" ref="W52:W91" si="5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2"/>
      <c r="Z52" s="202"/>
      <c r="AA52" s="132"/>
      <c r="AB52" s="85">
        <v>1</v>
      </c>
      <c r="AC52" s="202">
        <f t="shared" ref="AC52:AC90" si="6">SUM(AB52)</f>
        <v>1</v>
      </c>
      <c r="AD52" s="171">
        <f t="shared" ref="AD52:AD91" si="7">AC52-Z52</f>
        <v>1</v>
      </c>
      <c r="AE52" s="204">
        <f t="shared" ref="AE52:AE91" si="8">IFERROR((AC52-Z52)/Z52,0)</f>
        <v>0</v>
      </c>
      <c r="AF52" s="171">
        <f t="shared" ref="AF52:AF91" si="9">AC52-Y52</f>
        <v>1</v>
      </c>
      <c r="AG52" s="204">
        <f t="shared" ref="AG52:AG91" si="10">IFERROR((AC52-Y52)/Y52,0)</f>
        <v>0</v>
      </c>
      <c r="AH52" s="203" t="s">
        <v>135</v>
      </c>
      <c r="AI52" s="202" t="str">
        <f>IF(_epmOfflineCondition_,"0,00%",IF(P52="TOTAL", "", _xll.EPMSaveComment(AH52, $A$3, N52, O52, P52, $E$5, $C$6, M52, $C$9, "TIPRETOT","VF", $C$13, $C$14)))</f>
        <v>0,00%</v>
      </c>
      <c r="AJ52" s="96"/>
    </row>
    <row r="53" spans="13:36" x14ac:dyDescent="0.3">
      <c r="M53" s="109" t="str">
        <f>IF(_epmOfflineCondition_,"O0730100", _xll.EPMOlapMemberO("[ORGANIC_D].[PARENTH1].[O0730100]","","O0730100","","000"))</f>
        <v>O0730100</v>
      </c>
      <c r="N53" s="109" t="str">
        <f>IF(_epmOfflineCondition_,"E073I36001", _xll.EPMOlapMemberO("[ECONOMIC_D].[PARENTH1].[E073I36001]","","E073I36001","","000"))</f>
        <v>E073I36001</v>
      </c>
      <c r="O53" s="109" t="str">
        <f>IF(_epmOfflineCondition_,"F073I92000", _xll.EPMOlapMemberO("[FUNCTIONAL_D].[PARENTH1].[F073I92000]","","F073I92000","","000"))</f>
        <v>F073I92000</v>
      </c>
      <c r="P53" s="205" t="str">
        <f>IF(_epmOfflineCondition_,"PRDUMMY", _xll.EPMOlapMemberO("[PROJECTS_D].[PARENTH1].[PRDUMMY]","","PRDUMMY","","000"))</f>
        <v>PRDUMMY</v>
      </c>
      <c r="Q53" s="154" t="str">
        <f t="shared" si="2"/>
        <v>0100</v>
      </c>
      <c r="R53" s="154" t="str">
        <f>IF(_epmOfflineCondition_,"Consorci del Besos",IF(P53="TOTAL", " ", _xll.EPMMemberProperty($A$3, M53, $T$4)))</f>
        <v>Consorci del Besos</v>
      </c>
      <c r="S53" s="201" t="str">
        <f t="shared" si="3"/>
        <v>36001</v>
      </c>
      <c r="T53" s="201" t="str">
        <f>IF(_epmOfflineCondition_,"VENDA D'ENERGIA SOLAR",IF(P53="TOTAL", " ", _xll.EPMMemberProperty($A$3, N53, $T$4)))</f>
        <v>VENDA D'ENERGIA SOLAR</v>
      </c>
      <c r="U53" s="201" t="str">
        <f t="shared" si="4"/>
        <v>92000</v>
      </c>
      <c r="V53" s="201" t="str">
        <f>IF(_epmOfflineCondition_,"Serveis de caràcter general",IF(P53="TOTAL", " ", _xll.EPMMemberProperty($A$3, O53, $T$4)))</f>
        <v>Serveis de caràcter general</v>
      </c>
      <c r="W53" s="201" t="str">
        <f t="shared" si="5"/>
        <v/>
      </c>
      <c r="X53" s="201" t="str">
        <f>IF(_epmOfflineCondition_,"",IF(P53="TOTAL", " ", IF(P53="", "Total", _xll.EPMMemberProperty($A$3, P53, $U$4))))</f>
        <v/>
      </c>
      <c r="Y53" s="132">
        <v>5192.97</v>
      </c>
      <c r="Z53" s="202"/>
      <c r="AA53" s="132"/>
      <c r="AB53" s="85">
        <v>4500</v>
      </c>
      <c r="AC53" s="202">
        <f t="shared" si="6"/>
        <v>4500</v>
      </c>
      <c r="AD53" s="171">
        <f t="shared" si="7"/>
        <v>4500</v>
      </c>
      <c r="AE53" s="204">
        <f t="shared" si="8"/>
        <v>0</v>
      </c>
      <c r="AF53" s="171">
        <f t="shared" si="9"/>
        <v>-692.97000000000025</v>
      </c>
      <c r="AG53" s="204">
        <f t="shared" si="10"/>
        <v>-0.1334438673822495</v>
      </c>
      <c r="AH53" s="203" t="s">
        <v>136</v>
      </c>
      <c r="AI53" s="202" t="str">
        <f>IF(_epmOfflineCondition_,"-13,34%",IF(P53="TOTAL", "", _xll.EPMSaveComment(AH53, $A$3, N53, O53, P53, $E$5, $C$6, M53, $C$9, "TIPRETOT","VF", $C$13, $C$14)))</f>
        <v>-13,34%</v>
      </c>
      <c r="AJ53" s="96"/>
    </row>
    <row r="54" spans="13:36" x14ac:dyDescent="0.3">
      <c r="M54" s="109" t="str">
        <f>IF(_epmOfflineCondition_,"O0730100", _xll.EPMOlapMemberO("[ORGANIC_D].[PARENTH1].[O0730100]","","O0730100","","000"))</f>
        <v>O0730100</v>
      </c>
      <c r="N54" s="109" t="str">
        <f>IF(_epmOfflineCondition_,"E073I39610", _xll.EPMOlapMemberO("[ECONOMIC_D].[PARENTH1].[E073I39610]","","E073I39610","","000"))</f>
        <v>E073I39610</v>
      </c>
      <c r="O54" s="109" t="str">
        <f>IF(_epmOfflineCondition_,"F073I92000", _xll.EPMOlapMemberO("[FUNCTIONAL_D].[PARENTH1].[F073I92000]","","F073I92000","","000"))</f>
        <v>F073I92000</v>
      </c>
      <c r="P54" s="205" t="str">
        <f>IF(_epmOfflineCondition_,"PRDUMMY", _xll.EPMOlapMemberO("[PROJECTS_D].[PARENTH1].[PRDUMMY]","","PRDUMMY","","000"))</f>
        <v>PRDUMMY</v>
      </c>
      <c r="Q54" s="154" t="str">
        <f t="shared" si="2"/>
        <v>0100</v>
      </c>
      <c r="R54" s="154" t="str">
        <f>IF(_epmOfflineCondition_,"Consorci del Besos",IF(P54="TOTAL", " ", _xll.EPMMemberProperty($A$3, M54, $T$4)))</f>
        <v>Consorci del Besos</v>
      </c>
      <c r="S54" s="201" t="str">
        <f t="shared" si="3"/>
        <v>39610</v>
      </c>
      <c r="T54" s="201" t="str">
        <f>IF(_epmOfflineCondition_,"QUOTES URBANÍSTIQUES",IF(P54="TOTAL", " ", _xll.EPMMemberProperty($A$3, N54, $T$4)))</f>
        <v>QUOTES URBANÍSTIQUES</v>
      </c>
      <c r="U54" s="201" t="str">
        <f t="shared" si="4"/>
        <v>92000</v>
      </c>
      <c r="V54" s="201" t="str">
        <f>IF(_epmOfflineCondition_,"Serveis de caràcter general",IF(P54="TOTAL", " ", _xll.EPMMemberProperty($A$3, O54, $T$4)))</f>
        <v>Serveis de caràcter general</v>
      </c>
      <c r="W54" s="201" t="str">
        <f t="shared" si="5"/>
        <v/>
      </c>
      <c r="X54" s="201" t="str">
        <f>IF(_epmOfflineCondition_,"",IF(P54="TOTAL", " ", IF(P54="", "Total", _xll.EPMMemberProperty($A$3, P54, $U$4))))</f>
        <v/>
      </c>
      <c r="Y54" s="132"/>
      <c r="Z54" s="202"/>
      <c r="AA54" s="132"/>
      <c r="AB54" s="85">
        <v>1</v>
      </c>
      <c r="AC54" s="202">
        <f t="shared" si="6"/>
        <v>1</v>
      </c>
      <c r="AD54" s="171">
        <f t="shared" si="7"/>
        <v>1</v>
      </c>
      <c r="AE54" s="204">
        <f t="shared" si="8"/>
        <v>0</v>
      </c>
      <c r="AF54" s="171">
        <f t="shared" si="9"/>
        <v>1</v>
      </c>
      <c r="AG54" s="204">
        <f t="shared" si="10"/>
        <v>0</v>
      </c>
      <c r="AH54" s="203" t="s">
        <v>135</v>
      </c>
      <c r="AI54" s="202" t="str">
        <f>IF(_epmOfflineCondition_,"0,00%",IF(P54="TOTAL", "", _xll.EPMSaveComment(AH54, $A$3, N54, O54, P54, $E$5, $C$6, M54, $C$9, "TIPRETOT","VF", $C$13, $C$14)))</f>
        <v>0,00%</v>
      </c>
      <c r="AJ54" s="96"/>
    </row>
    <row r="55" spans="13:36" x14ac:dyDescent="0.3">
      <c r="M55" s="109" t="str">
        <f>IF(_epmOfflineCondition_,"O0730100", _xll.EPMOlapMemberO("[ORGANIC_D].[PARENTH1].[O0730100]","","O0730100","","000"))</f>
        <v>O0730100</v>
      </c>
      <c r="N55" s="109" t="str">
        <f>IF(_epmOfflineCondition_,"E073I39699", _xll.EPMOlapMemberO("[ECONOMIC_D].[PARENTH1].[E073I39699]","","E073I39699","","000"))</f>
        <v>E073I39699</v>
      </c>
      <c r="O55" s="109" t="str">
        <f>IF(_epmOfflineCondition_,"F073I92000", _xll.EPMOlapMemberO("[FUNCTIONAL_D].[PARENTH1].[F073I92000]","","F073I92000","","000"))</f>
        <v>F073I92000</v>
      </c>
      <c r="P55" s="205" t="str">
        <f>IF(_epmOfflineCondition_,"PRDUMMY", _xll.EPMOlapMemberO("[PROJECTS_D].[PARENTH1].[PRDUMMY]","","PRDUMMY","","000"))</f>
        <v>PRDUMMY</v>
      </c>
      <c r="Q55" s="154" t="str">
        <f t="shared" si="2"/>
        <v>0100</v>
      </c>
      <c r="R55" s="154" t="str">
        <f>IF(_epmOfflineCondition_,"Consorci del Besos",IF(P55="TOTAL", " ", _xll.EPMMemberProperty($A$3, M55, $T$4)))</f>
        <v>Consorci del Besos</v>
      </c>
      <c r="S55" s="201" t="str">
        <f t="shared" si="3"/>
        <v>39699</v>
      </c>
      <c r="T55" s="201" t="str">
        <f>IF(_epmOfflineCondition_,"ALTRES INGRESSOS PER ACTUACIONS URBANÍSTIQUES",IF(P55="TOTAL", " ", _xll.EPMMemberProperty($A$3, N55, $T$4)))</f>
        <v>ALTRES INGRESSOS PER ACTUACIONS URBANÍSTIQUES</v>
      </c>
      <c r="U55" s="201" t="str">
        <f t="shared" si="4"/>
        <v>92000</v>
      </c>
      <c r="V55" s="201" t="str">
        <f>IF(_epmOfflineCondition_,"Serveis de caràcter general",IF(P55="TOTAL", " ", _xll.EPMMemberProperty($A$3, O55, $T$4)))</f>
        <v>Serveis de caràcter general</v>
      </c>
      <c r="W55" s="201" t="str">
        <f t="shared" si="5"/>
        <v/>
      </c>
      <c r="X55" s="201" t="str">
        <f>IF(_epmOfflineCondition_,"",IF(P55="TOTAL", " ", IF(P55="", "Total", _xll.EPMMemberProperty($A$3, P55, $U$4))))</f>
        <v/>
      </c>
      <c r="Y55" s="132"/>
      <c r="Z55" s="202"/>
      <c r="AA55" s="132"/>
      <c r="AB55" s="85">
        <v>1</v>
      </c>
      <c r="AC55" s="202">
        <f t="shared" si="6"/>
        <v>1</v>
      </c>
      <c r="AD55" s="171">
        <f t="shared" si="7"/>
        <v>1</v>
      </c>
      <c r="AE55" s="204">
        <f t="shared" si="8"/>
        <v>0</v>
      </c>
      <c r="AF55" s="171">
        <f t="shared" si="9"/>
        <v>1</v>
      </c>
      <c r="AG55" s="204">
        <f t="shared" si="10"/>
        <v>0</v>
      </c>
      <c r="AH55" s="203" t="s">
        <v>135</v>
      </c>
      <c r="AI55" s="202" t="str">
        <f>IF(_epmOfflineCondition_,"0,00%",IF(P55="TOTAL", "", _xll.EPMSaveComment(AH55, $A$3, N55, O55, P55, $E$5, $C$6, M55, $C$9, "TIPRETOT","VF", $C$13, $C$14)))</f>
        <v>0,00%</v>
      </c>
      <c r="AJ55" s="96"/>
    </row>
    <row r="56" spans="13:36" x14ac:dyDescent="0.3">
      <c r="M56" s="109" t="str">
        <f>IF(_epmOfflineCondition_,"O0730100", _xll.EPMOlapMemberO("[ORGANIC_D].[PARENTH1].[O0730100]","","O0730100","","000"))</f>
        <v>O0730100</v>
      </c>
      <c r="N56" s="109" t="str">
        <f>IF(_epmOfflineCondition_,"E073I39999", _xll.EPMOlapMemberO("[ECONOMIC_D].[PARENTH1].[E073I39999]","","E073I39999","","000"))</f>
        <v>E073I39999</v>
      </c>
      <c r="O56" s="109" t="str">
        <f>IF(_epmOfflineCondition_,"F073I92000", _xll.EPMOlapMemberO("[FUNCTIONAL_D].[PARENTH1].[F073I92000]","","F073I92000","","000"))</f>
        <v>F073I92000</v>
      </c>
      <c r="P56" s="205" t="str">
        <f>IF(_epmOfflineCondition_,"PRDUMMY", _xll.EPMOlapMemberO("[PROJECTS_D].[PARENTH1].[PRDUMMY]","","PRDUMMY","","000"))</f>
        <v>PRDUMMY</v>
      </c>
      <c r="Q56" s="154" t="str">
        <f t="shared" si="2"/>
        <v>0100</v>
      </c>
      <c r="R56" s="154" t="str">
        <f>IF(_epmOfflineCondition_,"Consorci del Besos",IF(P56="TOTAL", " ", _xll.EPMMemberProperty($A$3, M56, $T$4)))</f>
        <v>Consorci del Besos</v>
      </c>
      <c r="S56" s="201" t="str">
        <f t="shared" si="3"/>
        <v>39999</v>
      </c>
      <c r="T56" s="201" t="str">
        <f>IF(_epmOfflineCondition_,"ALTRES INGRESSOS DIVERSOS",IF(P56="TOTAL", " ", _xll.EPMMemberProperty($A$3, N56, $T$4)))</f>
        <v>ALTRES INGRESSOS DIVERSOS</v>
      </c>
      <c r="U56" s="201" t="str">
        <f t="shared" si="4"/>
        <v>92000</v>
      </c>
      <c r="V56" s="201" t="str">
        <f>IF(_epmOfflineCondition_,"Serveis de caràcter general",IF(P56="TOTAL", " ", _xll.EPMMemberProperty($A$3, O56, $T$4)))</f>
        <v>Serveis de caràcter general</v>
      </c>
      <c r="W56" s="201" t="str">
        <f t="shared" si="5"/>
        <v/>
      </c>
      <c r="X56" s="201" t="str">
        <f>IF(_epmOfflineCondition_,"",IF(P56="TOTAL", " ", IF(P56="", "Total", _xll.EPMMemberProperty($A$3, P56, $U$4))))</f>
        <v/>
      </c>
      <c r="Y56" s="132"/>
      <c r="Z56" s="202"/>
      <c r="AA56" s="132"/>
      <c r="AB56" s="85">
        <v>40000</v>
      </c>
      <c r="AC56" s="202">
        <f t="shared" si="6"/>
        <v>40000</v>
      </c>
      <c r="AD56" s="171">
        <f t="shared" si="7"/>
        <v>40000</v>
      </c>
      <c r="AE56" s="204">
        <f t="shared" si="8"/>
        <v>0</v>
      </c>
      <c r="AF56" s="171">
        <f t="shared" si="9"/>
        <v>40000</v>
      </c>
      <c r="AG56" s="204">
        <f t="shared" si="10"/>
        <v>0</v>
      </c>
      <c r="AH56" s="203" t="s">
        <v>135</v>
      </c>
      <c r="AI56" s="202" t="str">
        <f>IF(_epmOfflineCondition_,"0,00%",IF(P56="TOTAL", "", _xll.EPMSaveComment(AH56, $A$3, N56, O56, P56, $E$5, $C$6, M56, $C$9, "TIPRETOT","VF", $C$13, $C$14)))</f>
        <v>0,00%</v>
      </c>
      <c r="AJ56" s="96"/>
    </row>
    <row r="57" spans="13:36" x14ac:dyDescent="0.3">
      <c r="M57" s="109" t="str">
        <f>IF(_epmOfflineCondition_,"O0730100", _xll.EPMOlapMemberO("[ORGANIC_D].[PARENTH1].[O0730100]","","O0730100","","000"))</f>
        <v>O0730100</v>
      </c>
      <c r="N57" s="109" t="str">
        <f>IF(_epmOfflineCondition_,"E073I45060", _xll.EPMOlapMemberO("[ECONOMIC_D].[PARENTH1].[E073I45060]","","E073I45060","","000"))</f>
        <v>E073I45060</v>
      </c>
      <c r="O57" s="109" t="str">
        <f>IF(_epmOfflineCondition_,"F073I92000", _xll.EPMOlapMemberO("[FUNCTIONAL_D].[PARENTH1].[F073I92000]","","F073I92000","","000"))</f>
        <v>F073I92000</v>
      </c>
      <c r="P57" s="205" t="str">
        <f>IF(_epmOfflineCondition_,"PRDUMMY", _xll.EPMOlapMemberO("[PROJECTS_D].[PARENTH1].[PRDUMMY]","","PRDUMMY","","000"))</f>
        <v>PRDUMMY</v>
      </c>
      <c r="Q57" s="154" t="str">
        <f t="shared" si="2"/>
        <v>0100</v>
      </c>
      <c r="R57" s="154" t="str">
        <f>IF(_epmOfflineCondition_,"Consorci del Besos",IF(P57="TOTAL", " ", _xll.EPMMemberProperty($A$3, M57, $T$4)))</f>
        <v>Consorci del Besos</v>
      </c>
      <c r="S57" s="201" t="str">
        <f t="shared" si="3"/>
        <v>45060</v>
      </c>
      <c r="T57" s="201" t="str">
        <f>IF(_epmOfflineCondition_,"DE LA GENERALITAT DE CATALUNYA PER ALTRES CONVENIS",IF(P57="TOTAL", " ", _xll.EPMMemberProperty($A$3, N57, $T$4)))</f>
        <v>DE LA GENERALITAT DE CATALUNYA PER ALTRES CONVENIS</v>
      </c>
      <c r="U57" s="201" t="str">
        <f t="shared" si="4"/>
        <v>92000</v>
      </c>
      <c r="V57" s="201" t="str">
        <f>IF(_epmOfflineCondition_,"Serveis de caràcter general",IF(P57="TOTAL", " ", _xll.EPMMemberProperty($A$3, O57, $T$4)))</f>
        <v>Serveis de caràcter general</v>
      </c>
      <c r="W57" s="201" t="str">
        <f t="shared" si="5"/>
        <v/>
      </c>
      <c r="X57" s="201" t="str">
        <f>IF(_epmOfflineCondition_,"",IF(P57="TOTAL", " ", IF(P57="", "Total", _xll.EPMMemberProperty($A$3, P57, $U$4))))</f>
        <v/>
      </c>
      <c r="Y57" s="132"/>
      <c r="Z57" s="202"/>
      <c r="AA57" s="132"/>
      <c r="AB57" s="85">
        <v>1</v>
      </c>
      <c r="AC57" s="202">
        <f t="shared" si="6"/>
        <v>1</v>
      </c>
      <c r="AD57" s="171">
        <f t="shared" si="7"/>
        <v>1</v>
      </c>
      <c r="AE57" s="204">
        <f t="shared" si="8"/>
        <v>0</v>
      </c>
      <c r="AF57" s="171">
        <f t="shared" si="9"/>
        <v>1</v>
      </c>
      <c r="AG57" s="204">
        <f t="shared" si="10"/>
        <v>0</v>
      </c>
      <c r="AH57" s="203" t="s">
        <v>135</v>
      </c>
      <c r="AI57" s="202" t="str">
        <f>IF(_epmOfflineCondition_,"0,00%",IF(P57="TOTAL", "", _xll.EPMSaveComment(AH57, $A$3, N57, O57, P57, $E$5, $C$6, M57, $C$9, "TIPRETOT","VF", $C$13, $C$14)))</f>
        <v>0,00%</v>
      </c>
      <c r="AJ57" s="96"/>
    </row>
    <row r="58" spans="13:36" x14ac:dyDescent="0.3">
      <c r="M58" s="109" t="str">
        <f>IF(_epmOfflineCondition_,"O0730100", _xll.EPMOlapMemberO("[ORGANIC_D].[PARENTH1].[O0730100]","","O0730100","","000"))</f>
        <v>O0730100</v>
      </c>
      <c r="N58" s="109" t="str">
        <f>IF(_epmOfflineCondition_,"E073I46200", _xll.EPMOlapMemberO("[ECONOMIC_D].[PARENTH1].[E073I46200]","","E073I46200","","000"))</f>
        <v>E073I46200</v>
      </c>
      <c r="O58" s="109" t="str">
        <f>IF(_epmOfflineCondition_,"F073I92000", _xll.EPMOlapMemberO("[FUNCTIONAL_D].[PARENTH1].[F073I92000]","","F073I92000","","000"))</f>
        <v>F073I92000</v>
      </c>
      <c r="P58" s="205" t="str">
        <f>IF(_epmOfflineCondition_,"PRDUMMY", _xll.EPMOlapMemberO("[PROJECTS_D].[PARENTH1].[PRDUMMY]","","PRDUMMY","","000"))</f>
        <v>PRDUMMY</v>
      </c>
      <c r="Q58" s="154" t="str">
        <f t="shared" si="2"/>
        <v>0100</v>
      </c>
      <c r="R58" s="154" t="str">
        <f>IF(_epmOfflineCondition_,"Consorci del Besos",IF(P58="TOTAL", " ", _xll.EPMMemberProperty($A$3, M58, $T$4)))</f>
        <v>Consorci del Besos</v>
      </c>
      <c r="S58" s="201" t="str">
        <f t="shared" si="3"/>
        <v>46200</v>
      </c>
      <c r="T58" s="201" t="str">
        <f>IF(_epmOfflineCondition_,"DE L'AJUNTAMENT DE BARCELONA (ORDINARI)",IF(P58="TOTAL", " ", _xll.EPMMemberProperty($A$3, N58, $T$4)))</f>
        <v>DE L'AJUNTAMENT DE BARCELONA (ORDINARI)</v>
      </c>
      <c r="U58" s="201" t="str">
        <f t="shared" si="4"/>
        <v>92000</v>
      </c>
      <c r="V58" s="201" t="str">
        <f>IF(_epmOfflineCondition_,"Serveis de caràcter general",IF(P58="TOTAL", " ", _xll.EPMMemberProperty($A$3, O58, $T$4)))</f>
        <v>Serveis de caràcter general</v>
      </c>
      <c r="W58" s="201" t="str">
        <f t="shared" si="5"/>
        <v/>
      </c>
      <c r="X58" s="201" t="str">
        <f>IF(_epmOfflineCondition_,"",IF(P58="TOTAL", " ", IF(P58="", "Total", _xll.EPMMemberProperty($A$3, P58, $U$4))))</f>
        <v/>
      </c>
      <c r="Y58" s="132">
        <v>561169</v>
      </c>
      <c r="Z58" s="202"/>
      <c r="AA58" s="132"/>
      <c r="AB58" s="85">
        <v>674672</v>
      </c>
      <c r="AC58" s="202">
        <f t="shared" si="6"/>
        <v>674672</v>
      </c>
      <c r="AD58" s="171">
        <f t="shared" si="7"/>
        <v>674672</v>
      </c>
      <c r="AE58" s="204">
        <f t="shared" si="8"/>
        <v>0</v>
      </c>
      <c r="AF58" s="171">
        <f t="shared" si="9"/>
        <v>113503</v>
      </c>
      <c r="AG58" s="204">
        <f t="shared" si="10"/>
        <v>0.20226170725752848</v>
      </c>
      <c r="AH58" s="203" t="s">
        <v>137</v>
      </c>
      <c r="AI58" s="202" t="str">
        <f>IF(_epmOfflineCondition_,"20,23%",IF(P58="TOTAL", "", _xll.EPMSaveComment(AH58, $A$3, N58, O58, P58, $E$5, $C$6, M58, $C$9, "TIPRETOT","VF", $C$13, $C$14)))</f>
        <v>20,23%</v>
      </c>
      <c r="AJ58" s="96"/>
    </row>
    <row r="59" spans="13:36" x14ac:dyDescent="0.3">
      <c r="M59" s="109" t="str">
        <f>IF(_epmOfflineCondition_,"O0730100", _xll.EPMOlapMemberO("[ORGANIC_D].[PARENTH1].[O0730100]","","O0730100","","000"))</f>
        <v>O0730100</v>
      </c>
      <c r="N59" s="109" t="str">
        <f>IF(_epmOfflineCondition_,"E073I46201", _xll.EPMOlapMemberO("[ECONOMIC_D].[PARENTH1].[E073I46201]","","E073I46201","","000"))</f>
        <v>E073I46201</v>
      </c>
      <c r="O59" s="109" t="str">
        <f>IF(_epmOfflineCondition_,"F073I92000", _xll.EPMOlapMemberO("[FUNCTIONAL_D].[PARENTH1].[F073I92000]","","F073I92000","","000"))</f>
        <v>F073I92000</v>
      </c>
      <c r="P59" s="205" t="str">
        <f>IF(_epmOfflineCondition_,"PRDUMMY", _xll.EPMOlapMemberO("[PROJECTS_D].[PARENTH1].[PRDUMMY]","","PRDUMMY","","000"))</f>
        <v>PRDUMMY</v>
      </c>
      <c r="Q59" s="154" t="str">
        <f t="shared" si="2"/>
        <v>0100</v>
      </c>
      <c r="R59" s="154" t="str">
        <f>IF(_epmOfflineCondition_,"Consorci del Besos",IF(P59="TOTAL", " ", _xll.EPMMemberProperty($A$3, M59, $T$4)))</f>
        <v>Consorci del Besos</v>
      </c>
      <c r="S59" s="201" t="str">
        <f t="shared" si="3"/>
        <v>46201</v>
      </c>
      <c r="T59" s="201" t="str">
        <f>IF(_epmOfflineCondition_,"DE L'AJUNTAMENT DE BARCELONA (ZONA FÒRUM)",IF(P59="TOTAL", " ", _xll.EPMMemberProperty($A$3, N59, $T$4)))</f>
        <v>DE L'AJUNTAMENT DE BARCELONA (ZONA FÒRUM)</v>
      </c>
      <c r="U59" s="201" t="str">
        <f t="shared" si="4"/>
        <v>92000</v>
      </c>
      <c r="V59" s="201" t="str">
        <f>IF(_epmOfflineCondition_,"Serveis de caràcter general",IF(P59="TOTAL", " ", _xll.EPMMemberProperty($A$3, O59, $T$4)))</f>
        <v>Serveis de caràcter general</v>
      </c>
      <c r="W59" s="201" t="str">
        <f t="shared" si="5"/>
        <v/>
      </c>
      <c r="X59" s="201" t="str">
        <f>IF(_epmOfflineCondition_,"",IF(P59="TOTAL", " ", IF(P59="", "Total", _xll.EPMMemberProperty($A$3, P59, $U$4))))</f>
        <v/>
      </c>
      <c r="Y59" s="132">
        <v>594672</v>
      </c>
      <c r="Z59" s="202"/>
      <c r="AA59" s="132"/>
      <c r="AB59" s="85">
        <v>211000</v>
      </c>
      <c r="AC59" s="202">
        <f t="shared" si="6"/>
        <v>211000</v>
      </c>
      <c r="AD59" s="171">
        <f t="shared" si="7"/>
        <v>211000</v>
      </c>
      <c r="AE59" s="204">
        <f t="shared" si="8"/>
        <v>0</v>
      </c>
      <c r="AF59" s="171">
        <f t="shared" si="9"/>
        <v>-383672</v>
      </c>
      <c r="AG59" s="204">
        <f t="shared" si="10"/>
        <v>-0.64518255441655237</v>
      </c>
      <c r="AH59" s="203" t="s">
        <v>138</v>
      </c>
      <c r="AI59" s="202" t="str">
        <f>IF(_epmOfflineCondition_,"-64,52%",IF(P59="TOTAL", "", _xll.EPMSaveComment(AH59, $A$3, N59, O59, P59, $E$5, $C$6, M59, $C$9, "TIPRETOT","VF", $C$13, $C$14)))</f>
        <v>-64,52%</v>
      </c>
      <c r="AJ59" s="96"/>
    </row>
    <row r="60" spans="13:36" x14ac:dyDescent="0.3">
      <c r="M60" s="109" t="str">
        <f>IF(_epmOfflineCondition_,"O0730100", _xll.EPMOlapMemberO("[ORGANIC_D].[PARENTH1].[O0730100]","","O0730100","","000"))</f>
        <v>O0730100</v>
      </c>
      <c r="N60" s="109" t="str">
        <f>IF(_epmOfflineCondition_,"E073I46202", _xll.EPMOlapMemberO("[ECONOMIC_D].[PARENTH1].[E073I46202]","","E073I46202","","000"))</f>
        <v>E073I46202</v>
      </c>
      <c r="O60" s="109" t="str">
        <f>IF(_epmOfflineCondition_,"F073I92000", _xll.EPMOlapMemberO("[FUNCTIONAL_D].[PARENTH1].[F073I92000]","","F073I92000","","000"))</f>
        <v>F073I92000</v>
      </c>
      <c r="P60" s="205" t="str">
        <f>IF(_epmOfflineCondition_,"PRDUMMY", _xll.EPMOlapMemberO("[PROJECTS_D].[PARENTH1].[PRDUMMY]","","PRDUMMY","","000"))</f>
        <v>PRDUMMY</v>
      </c>
      <c r="Q60" s="154" t="str">
        <f t="shared" si="2"/>
        <v>0100</v>
      </c>
      <c r="R60" s="154" t="str">
        <f>IF(_epmOfflineCondition_,"Consorci del Besos",IF(P60="TOTAL", " ", _xll.EPMMemberProperty($A$3, M60, $T$4)))</f>
        <v>Consorci del Besos</v>
      </c>
      <c r="S60" s="201" t="str">
        <f t="shared" si="3"/>
        <v>46202</v>
      </c>
      <c r="T60" s="201" t="str">
        <f>IF(_epmOfflineCondition_,"DE L'AJUNTAMENT DE BARCELONA (RSU)",IF(P60="TOTAL", " ", _xll.EPMMemberProperty($A$3, N60, $T$4)))</f>
        <v>DE L'AJUNTAMENT DE BARCELONA (RSU)</v>
      </c>
      <c r="U60" s="201" t="str">
        <f t="shared" si="4"/>
        <v>92000</v>
      </c>
      <c r="V60" s="201" t="str">
        <f>IF(_epmOfflineCondition_,"Serveis de caràcter general",IF(P60="TOTAL", " ", _xll.EPMMemberProperty($A$3, O60, $T$4)))</f>
        <v>Serveis de caràcter general</v>
      </c>
      <c r="W60" s="201" t="str">
        <f t="shared" si="5"/>
        <v/>
      </c>
      <c r="X60" s="201" t="str">
        <f>IF(_epmOfflineCondition_,"",IF(P60="TOTAL", " ", IF(P60="", "Total", _xll.EPMMemberProperty($A$3, P60, $U$4))))</f>
        <v/>
      </c>
      <c r="Y60" s="132">
        <v>347663</v>
      </c>
      <c r="Z60" s="202"/>
      <c r="AA60" s="132"/>
      <c r="AB60" s="85">
        <v>50000</v>
      </c>
      <c r="AC60" s="202">
        <f t="shared" si="6"/>
        <v>50000</v>
      </c>
      <c r="AD60" s="171">
        <f t="shared" si="7"/>
        <v>50000</v>
      </c>
      <c r="AE60" s="204">
        <f t="shared" si="8"/>
        <v>0</v>
      </c>
      <c r="AF60" s="171">
        <f t="shared" si="9"/>
        <v>-297663</v>
      </c>
      <c r="AG60" s="204">
        <f t="shared" si="10"/>
        <v>-0.85618256760138411</v>
      </c>
      <c r="AH60" s="203" t="s">
        <v>139</v>
      </c>
      <c r="AI60" s="202" t="str">
        <f>IF(_epmOfflineCondition_,"-85,62%",IF(P60="TOTAL", "", _xll.EPMSaveComment(AH60, $A$3, N60, O60, P60, $E$5, $C$6, M60, $C$9, "TIPRETOT","VF", $C$13, $C$14)))</f>
        <v>-85,62%</v>
      </c>
      <c r="AJ60" s="96"/>
    </row>
    <row r="61" spans="13:36" x14ac:dyDescent="0.3">
      <c r="M61" s="109" t="str">
        <f>IF(_epmOfflineCondition_,"O0730100", _xll.EPMOlapMemberO("[ORGANIC_D].[PARENTH1].[O0730100]","","O0730100","","000"))</f>
        <v>O0730100</v>
      </c>
      <c r="N61" s="109" t="str">
        <f>IF(_epmOfflineCondition_,"E073I46203", _xll.EPMOlapMemberO("[ECONOMIC_D].[PARENTH1].[E073I46203]","","E073I46203","","000"))</f>
        <v>E073I46203</v>
      </c>
      <c r="O61" s="109" t="str">
        <f>IF(_epmOfflineCondition_,"F073I92000", _xll.EPMOlapMemberO("[FUNCTIONAL_D].[PARENTH1].[F073I92000]","","F073I92000","","000"))</f>
        <v>F073I92000</v>
      </c>
      <c r="P61" s="205" t="str">
        <f>IF(_epmOfflineCondition_,"PRDUMMY", _xll.EPMOlapMemberO("[PROJECTS_D].[PARENTH1].[PRDUMMY]","","PRDUMMY","","000"))</f>
        <v>PRDUMMY</v>
      </c>
      <c r="Q61" s="154" t="str">
        <f t="shared" si="2"/>
        <v>0100</v>
      </c>
      <c r="R61" s="154" t="str">
        <f>IF(_epmOfflineCondition_,"Consorci del Besos",IF(P61="TOTAL", " ", _xll.EPMMemberProperty($A$3, M61, $T$4)))</f>
        <v>Consorci del Besos</v>
      </c>
      <c r="S61" s="201" t="str">
        <f t="shared" si="3"/>
        <v>46203</v>
      </c>
      <c r="T61" s="201" t="str">
        <f>IF(_epmOfflineCondition_,"DE L'AJUNTAMENT DE BARCELONA (OFICINA TÈCNICA)",IF(P61="TOTAL", " ", _xll.EPMMemberProperty($A$3, N61, $T$4)))</f>
        <v>DE L'AJUNTAMENT DE BARCELONA (OFICINA TÈCNICA)</v>
      </c>
      <c r="U61" s="201" t="str">
        <f t="shared" si="4"/>
        <v>92000</v>
      </c>
      <c r="V61" s="201" t="str">
        <f>IF(_epmOfflineCondition_,"Serveis de caràcter general",IF(P61="TOTAL", " ", _xll.EPMMemberProperty($A$3, O61, $T$4)))</f>
        <v>Serveis de caràcter general</v>
      </c>
      <c r="W61" s="201" t="str">
        <f t="shared" si="5"/>
        <v/>
      </c>
      <c r="X61" s="201" t="str">
        <f>IF(_epmOfflineCondition_,"",IF(P61="TOTAL", " ", IF(P61="", "Total", _xll.EPMMemberProperty($A$3, P61, $U$4))))</f>
        <v/>
      </c>
      <c r="Y61" s="132">
        <v>416472.6</v>
      </c>
      <c r="Z61" s="202"/>
      <c r="AA61" s="132"/>
      <c r="AB61" s="85">
        <v>50000</v>
      </c>
      <c r="AC61" s="202">
        <f t="shared" si="6"/>
        <v>50000</v>
      </c>
      <c r="AD61" s="171">
        <f t="shared" si="7"/>
        <v>50000</v>
      </c>
      <c r="AE61" s="204">
        <f t="shared" si="8"/>
        <v>0</v>
      </c>
      <c r="AF61" s="171">
        <f t="shared" si="9"/>
        <v>-366472.6</v>
      </c>
      <c r="AG61" s="204">
        <f t="shared" si="10"/>
        <v>-0.87994408275598446</v>
      </c>
      <c r="AH61" s="203" t="s">
        <v>140</v>
      </c>
      <c r="AI61" s="202" t="str">
        <f>IF(_epmOfflineCondition_,"-87,99%",IF(P61="TOTAL", "", _xll.EPMSaveComment(AH61, $A$3, N61, O61, P61, $E$5, $C$6, M61, $C$9, "TIPRETOT","VF", $C$13, $C$14)))</f>
        <v>-87,99%</v>
      </c>
      <c r="AJ61" s="96"/>
    </row>
    <row r="62" spans="13:36" x14ac:dyDescent="0.3">
      <c r="M62" s="109" t="str">
        <f>IF(_epmOfflineCondition_,"O0730100", _xll.EPMOlapMemberO("[ORGANIC_D].[PARENTH1].[O0730100]","","O0730100","","000"))</f>
        <v>O0730100</v>
      </c>
      <c r="N62" s="109" t="str">
        <f>IF(_epmOfflineCondition_,"E073I46204", _xll.EPMOlapMemberO("[ECONOMIC_D].[PARENTH1].[E073I46204]","","E073I46204","","000"))</f>
        <v>E073I46204</v>
      </c>
      <c r="O62" s="109" t="str">
        <f>IF(_epmOfflineCondition_,"F073I92000", _xll.EPMOlapMemberO("[FUNCTIONAL_D].[PARENTH1].[F073I92000]","","F073I92000","","000"))</f>
        <v>F073I92000</v>
      </c>
      <c r="P62" s="205" t="str">
        <f>IF(_epmOfflineCondition_,"PRDUMMY", _xll.EPMOlapMemberO("[PROJECTS_D].[PARENTH1].[PRDUMMY]","","PRDUMMY","","000"))</f>
        <v>PRDUMMY</v>
      </c>
      <c r="Q62" s="154" t="str">
        <f t="shared" si="2"/>
        <v>0100</v>
      </c>
      <c r="R62" s="154" t="str">
        <f>IF(_epmOfflineCondition_,"Consorci del Besos",IF(P62="TOTAL", " ", _xll.EPMMemberProperty($A$3, M62, $T$4)))</f>
        <v>Consorci del Besos</v>
      </c>
      <c r="S62" s="201" t="str">
        <f t="shared" si="3"/>
        <v>46204</v>
      </c>
      <c r="T62" s="201" t="str">
        <f>IF(_epmOfflineCondition_,"DE L'AJUNTAMENT DE BARCELONA (ALTRES)",IF(P62="TOTAL", " ", _xll.EPMMemberProperty($A$3, N62, $T$4)))</f>
        <v>DE L'AJUNTAMENT DE BARCELONA (ALTRES)</v>
      </c>
      <c r="U62" s="201" t="str">
        <f t="shared" si="4"/>
        <v>92000</v>
      </c>
      <c r="V62" s="201" t="str">
        <f>IF(_epmOfflineCondition_,"Serveis de caràcter general",IF(P62="TOTAL", " ", _xll.EPMMemberProperty($A$3, O62, $T$4)))</f>
        <v>Serveis de caràcter general</v>
      </c>
      <c r="W62" s="201" t="str">
        <f t="shared" si="5"/>
        <v/>
      </c>
      <c r="X62" s="201" t="str">
        <f>IF(_epmOfflineCondition_,"",IF(P62="TOTAL", " ", IF(P62="", "Total", _xll.EPMMemberProperty($A$3, P62, $U$4))))</f>
        <v/>
      </c>
      <c r="Y62" s="132">
        <v>250000</v>
      </c>
      <c r="Z62" s="202"/>
      <c r="AA62" s="132"/>
      <c r="AB62" s="85">
        <v>50000</v>
      </c>
      <c r="AC62" s="202">
        <f t="shared" si="6"/>
        <v>50000</v>
      </c>
      <c r="AD62" s="171">
        <f t="shared" si="7"/>
        <v>50000</v>
      </c>
      <c r="AE62" s="204">
        <f t="shared" si="8"/>
        <v>0</v>
      </c>
      <c r="AF62" s="171">
        <f t="shared" si="9"/>
        <v>-200000</v>
      </c>
      <c r="AG62" s="204">
        <f t="shared" si="10"/>
        <v>-0.8</v>
      </c>
      <c r="AH62" s="203" t="s">
        <v>141</v>
      </c>
      <c r="AI62" s="202" t="str">
        <f>IF(_epmOfflineCondition_,"-80,00%",IF(P62="TOTAL", "", _xll.EPMSaveComment(AH62, $A$3, N62, O62, P62, $E$5, $C$6, M62, $C$9, "TIPRETOT","VF", $C$13, $C$14)))</f>
        <v>-80,00%</v>
      </c>
      <c r="AJ62" s="96"/>
    </row>
    <row r="63" spans="13:36" x14ac:dyDescent="0.3">
      <c r="M63" s="109" t="str">
        <f>IF(_epmOfflineCondition_,"O0730100", _xll.EPMOlapMemberO("[ORGANIC_D].[PARENTH1].[O0730100]","","O0730100","","000"))</f>
        <v>O0730100</v>
      </c>
      <c r="N63" s="109" t="str">
        <f>IF(_epmOfflineCondition_,"E073I46205", _xll.EPMOlapMemberO("[ECONOMIC_D].[PARENTH1].[E073I46205]","","E073I46205","","000"))</f>
        <v>E073I46205</v>
      </c>
      <c r="O63" s="109" t="str">
        <f>IF(_epmOfflineCondition_,"F073I92000", _xll.EPMOlapMemberO("[FUNCTIONAL_D].[PARENTH1].[F073I92000]","","F073I92000","","000"))</f>
        <v>F073I92000</v>
      </c>
      <c r="P63" s="205" t="str">
        <f>IF(_epmOfflineCondition_,"PRDUMMY", _xll.EPMOlapMemberO("[PROJECTS_D].[PARENTH1].[PRDUMMY]","","PRDUMMY","","000"))</f>
        <v>PRDUMMY</v>
      </c>
      <c r="Q63" s="154" t="str">
        <f t="shared" si="2"/>
        <v>0100</v>
      </c>
      <c r="R63" s="154" t="str">
        <f>IF(_epmOfflineCondition_,"Consorci del Besos",IF(P63="TOTAL", " ", _xll.EPMMemberProperty($A$3, M63, $T$4)))</f>
        <v>Consorci del Besos</v>
      </c>
      <c r="S63" s="201" t="str">
        <f t="shared" si="3"/>
        <v>46205</v>
      </c>
      <c r="T63" s="201" t="str">
        <f>IF(_epmOfflineCondition_,"DE L'AJUNTAMENT DE SANT ADRIÀ (ORDINARI)",IF(P63="TOTAL", " ", _xll.EPMMemberProperty($A$3, N63, $T$4)))</f>
        <v>DE L'AJUNTAMENT DE SANT ADRIÀ (ORDINARI)</v>
      </c>
      <c r="U63" s="201" t="str">
        <f t="shared" si="4"/>
        <v>92000</v>
      </c>
      <c r="V63" s="201" t="str">
        <f>IF(_epmOfflineCondition_,"Serveis de caràcter general",IF(P63="TOTAL", " ", _xll.EPMMemberProperty($A$3, O63, $T$4)))</f>
        <v>Serveis de caràcter general</v>
      </c>
      <c r="W63" s="201" t="str">
        <f t="shared" si="5"/>
        <v/>
      </c>
      <c r="X63" s="201" t="str">
        <f>IF(_epmOfflineCondition_,"",IF(P63="TOTAL", " ", IF(P63="", "Total", _xll.EPMMemberProperty($A$3, P63, $U$4))))</f>
        <v/>
      </c>
      <c r="Y63" s="132">
        <v>211024</v>
      </c>
      <c r="Z63" s="202"/>
      <c r="AA63" s="132"/>
      <c r="AB63" s="85">
        <v>201000</v>
      </c>
      <c r="AC63" s="202">
        <f t="shared" si="6"/>
        <v>201000</v>
      </c>
      <c r="AD63" s="171">
        <f t="shared" si="7"/>
        <v>201000</v>
      </c>
      <c r="AE63" s="204">
        <f t="shared" si="8"/>
        <v>0</v>
      </c>
      <c r="AF63" s="171">
        <f t="shared" si="9"/>
        <v>-10024</v>
      </c>
      <c r="AG63" s="204">
        <f t="shared" si="10"/>
        <v>-4.7501705967093792E-2</v>
      </c>
      <c r="AH63" s="203" t="s">
        <v>142</v>
      </c>
      <c r="AI63" s="202" t="str">
        <f>IF(_epmOfflineCondition_,"-4,75%",IF(P63="TOTAL", "", _xll.EPMSaveComment(AH63, $A$3, N63, O63, P63, $E$5, $C$6, M63, $C$9, "TIPRETOT","VF", $C$13, $C$14)))</f>
        <v>-4,75%</v>
      </c>
      <c r="AJ63" s="96"/>
    </row>
    <row r="64" spans="13:36" x14ac:dyDescent="0.3">
      <c r="M64" s="109" t="str">
        <f>IF(_epmOfflineCondition_,"O0730100", _xll.EPMOlapMemberO("[ORGANIC_D].[PARENTH1].[O0730100]","","O0730100","","000"))</f>
        <v>O0730100</v>
      </c>
      <c r="N64" s="109" t="str">
        <f>IF(_epmOfflineCondition_,"E073I46206", _xll.EPMOlapMemberO("[ECONOMIC_D].[PARENTH1].[E073I46206]","","E073I46206","","000"))</f>
        <v>E073I46206</v>
      </c>
      <c r="O64" s="109" t="str">
        <f>IF(_epmOfflineCondition_,"F073I92000", _xll.EPMOlapMemberO("[FUNCTIONAL_D].[PARENTH1].[F073I92000]","","F073I92000","","000"))</f>
        <v>F073I92000</v>
      </c>
      <c r="P64" s="205" t="str">
        <f>IF(_epmOfflineCondition_,"PRDUMMY", _xll.EPMOlapMemberO("[PROJECTS_D].[PARENTH1].[PRDUMMY]","","PRDUMMY","","000"))</f>
        <v>PRDUMMY</v>
      </c>
      <c r="Q64" s="154" t="str">
        <f t="shared" si="2"/>
        <v>0100</v>
      </c>
      <c r="R64" s="154" t="str">
        <f>IF(_epmOfflineCondition_,"Consorci del Besos",IF(P64="TOTAL", " ", _xll.EPMMemberProperty($A$3, M64, $T$4)))</f>
        <v>Consorci del Besos</v>
      </c>
      <c r="S64" s="201" t="str">
        <f t="shared" si="3"/>
        <v>46206</v>
      </c>
      <c r="T64" s="201" t="str">
        <f>IF(_epmOfflineCondition_,"DE L'AJUNTAMENT DE SANT ADRIÀ (RSU)",IF(P64="TOTAL", " ", _xll.EPMMemberProperty($A$3, N64, $T$4)))</f>
        <v>DE L'AJUNTAMENT DE SANT ADRIÀ (RSU)</v>
      </c>
      <c r="U64" s="201" t="str">
        <f t="shared" si="4"/>
        <v>92000</v>
      </c>
      <c r="V64" s="201" t="str">
        <f>IF(_epmOfflineCondition_,"Serveis de caràcter general",IF(P64="TOTAL", " ", _xll.EPMMemberProperty($A$3, O64, $T$4)))</f>
        <v>Serveis de caràcter general</v>
      </c>
      <c r="W64" s="201" t="str">
        <f t="shared" si="5"/>
        <v/>
      </c>
      <c r="X64" s="201" t="str">
        <f>IF(_epmOfflineCondition_,"",IF(P64="TOTAL", " ", IF(P64="", "Total", _xll.EPMMemberProperty($A$3, P64, $U$4))))</f>
        <v/>
      </c>
      <c r="Y64" s="132">
        <v>129708</v>
      </c>
      <c r="Z64" s="202"/>
      <c r="AA64" s="132"/>
      <c r="AB64" s="85">
        <v>348442</v>
      </c>
      <c r="AC64" s="202">
        <f t="shared" si="6"/>
        <v>348442</v>
      </c>
      <c r="AD64" s="171">
        <f t="shared" si="7"/>
        <v>348442</v>
      </c>
      <c r="AE64" s="204">
        <f t="shared" si="8"/>
        <v>0</v>
      </c>
      <c r="AF64" s="171">
        <f t="shared" si="9"/>
        <v>218734</v>
      </c>
      <c r="AG64" s="204">
        <f t="shared" si="10"/>
        <v>1.6863570481388965</v>
      </c>
      <c r="AH64" s="203" t="s">
        <v>143</v>
      </c>
      <c r="AI64" s="202" t="str">
        <f>IF(_epmOfflineCondition_,"168,64%",IF(P64="TOTAL", "", _xll.EPMSaveComment(AH64, $A$3, N64, O64, P64, $E$5, $C$6, M64, $C$9, "TIPRETOT","VF", $C$13, $C$14)))</f>
        <v>168,64%</v>
      </c>
      <c r="AJ64" s="96"/>
    </row>
    <row r="65" spans="13:36" x14ac:dyDescent="0.3">
      <c r="M65" s="109" t="str">
        <f>IF(_epmOfflineCondition_,"O0730100", _xll.EPMOlapMemberO("[ORGANIC_D].[PARENTH1].[O0730100]","","O0730100","","000"))</f>
        <v>O0730100</v>
      </c>
      <c r="N65" s="109" t="str">
        <f>IF(_epmOfflineCondition_,"E073I46207", _xll.EPMOlapMemberO("[ECONOMIC_D].[PARENTH1].[E073I46207]","","E073I46207","","000"))</f>
        <v>E073I46207</v>
      </c>
      <c r="O65" s="109" t="str">
        <f>IF(_epmOfflineCondition_,"F073I92000", _xll.EPMOlapMemberO("[FUNCTIONAL_D].[PARENTH1].[F073I92000]","","F073I92000","","000"))</f>
        <v>F073I92000</v>
      </c>
      <c r="P65" s="205" t="str">
        <f>IF(_epmOfflineCondition_,"PRDUMMY", _xll.EPMOlapMemberO("[PROJECTS_D].[PARENTH1].[PRDUMMY]","","PRDUMMY","","000"))</f>
        <v>PRDUMMY</v>
      </c>
      <c r="Q65" s="154" t="str">
        <f t="shared" si="2"/>
        <v>0100</v>
      </c>
      <c r="R65" s="154" t="str">
        <f>IF(_epmOfflineCondition_,"Consorci del Besos",IF(P65="TOTAL", " ", _xll.EPMMemberProperty($A$3, M65, $T$4)))</f>
        <v>Consorci del Besos</v>
      </c>
      <c r="S65" s="201" t="str">
        <f t="shared" si="3"/>
        <v>46207</v>
      </c>
      <c r="T65" s="201" t="str">
        <f>IF(_epmOfflineCondition_,"DE L'AJUNTAMENT DE SANT ADRIÀ (PARC PAU I C3)",IF(P65="TOTAL", " ", _xll.EPMMemberProperty($A$3, N65, $T$4)))</f>
        <v>DE L'AJUNTAMENT DE SANT ADRIÀ (PARC PAU I C3)</v>
      </c>
      <c r="U65" s="201" t="str">
        <f t="shared" si="4"/>
        <v>92000</v>
      </c>
      <c r="V65" s="201" t="str">
        <f>IF(_epmOfflineCondition_,"Serveis de caràcter general",IF(P65="TOTAL", " ", _xll.EPMMemberProperty($A$3, O65, $T$4)))</f>
        <v>Serveis de caràcter general</v>
      </c>
      <c r="W65" s="201" t="str">
        <f t="shared" si="5"/>
        <v/>
      </c>
      <c r="X65" s="201" t="str">
        <f>IF(_epmOfflineCondition_,"",IF(P65="TOTAL", " ", IF(P65="", "Total", _xll.EPMMemberProperty($A$3, P65, $U$4))))</f>
        <v/>
      </c>
      <c r="Y65" s="132">
        <v>52000</v>
      </c>
      <c r="Z65" s="202"/>
      <c r="AA65" s="132"/>
      <c r="AB65" s="85">
        <v>13010</v>
      </c>
      <c r="AC65" s="202">
        <f t="shared" si="6"/>
        <v>13010</v>
      </c>
      <c r="AD65" s="171">
        <f t="shared" si="7"/>
        <v>13010</v>
      </c>
      <c r="AE65" s="204">
        <f t="shared" si="8"/>
        <v>0</v>
      </c>
      <c r="AF65" s="171">
        <f t="shared" si="9"/>
        <v>-38990</v>
      </c>
      <c r="AG65" s="204">
        <f t="shared" si="10"/>
        <v>-0.74980769230769229</v>
      </c>
      <c r="AH65" s="203" t="s">
        <v>144</v>
      </c>
      <c r="AI65" s="202" t="str">
        <f>IF(_epmOfflineCondition_,"-74,98%",IF(P65="TOTAL", "", _xll.EPMSaveComment(AH65, $A$3, N65, O65, P65, $E$5, $C$6, M65, $C$9, "TIPRETOT","VF", $C$13, $C$14)))</f>
        <v>-74,98%</v>
      </c>
      <c r="AJ65" s="96"/>
    </row>
    <row r="66" spans="13:36" x14ac:dyDescent="0.3">
      <c r="M66" s="109" t="str">
        <f>IF(_epmOfflineCondition_,"O0730100", _xll.EPMOlapMemberO("[ORGANIC_D].[PARENTH1].[O0730100]","","O0730100","","000"))</f>
        <v>O0730100</v>
      </c>
      <c r="N66" s="109" t="str">
        <f>IF(_epmOfflineCondition_,"E073I46208", _xll.EPMOlapMemberO("[ECONOMIC_D].[PARENTH1].[E073I46208]","","E073I46208","","000"))</f>
        <v>E073I46208</v>
      </c>
      <c r="O66" s="109" t="str">
        <f>IF(_epmOfflineCondition_,"F073I92000", _xll.EPMOlapMemberO("[FUNCTIONAL_D].[PARENTH1].[F073I92000]","","F073I92000","","000"))</f>
        <v>F073I92000</v>
      </c>
      <c r="P66" s="205" t="str">
        <f>IF(_epmOfflineCondition_,"PRDUMMY", _xll.EPMOlapMemberO("[PROJECTS_D].[PARENTH1].[PRDUMMY]","","PRDUMMY","","000"))</f>
        <v>PRDUMMY</v>
      </c>
      <c r="Q66" s="154" t="str">
        <f t="shared" si="2"/>
        <v>0100</v>
      </c>
      <c r="R66" s="154" t="str">
        <f>IF(_epmOfflineCondition_,"Consorci del Besos",IF(P66="TOTAL", " ", _xll.EPMMemberProperty($A$3, M66, $T$4)))</f>
        <v>Consorci del Besos</v>
      </c>
      <c r="S66" s="201" t="str">
        <f t="shared" si="3"/>
        <v>46208</v>
      </c>
      <c r="T66" s="201" t="str">
        <f>IF(_epmOfflineCondition_,"DE L'AJUNTAMENT DE SANTA COLOMA (ORDINARI)",IF(P66="TOTAL", " ", _xll.EPMMemberProperty($A$3, N66, $T$4)))</f>
        <v>DE L'AJUNTAMENT DE SANTA COLOMA (ORDINARI)</v>
      </c>
      <c r="U66" s="201" t="str">
        <f t="shared" si="4"/>
        <v>92000</v>
      </c>
      <c r="V66" s="201" t="str">
        <f>IF(_epmOfflineCondition_,"Serveis de caràcter general",IF(P66="TOTAL", " ", _xll.EPMMemberProperty($A$3, O66, $T$4)))</f>
        <v>Serveis de caràcter general</v>
      </c>
      <c r="W66" s="201" t="str">
        <f t="shared" si="5"/>
        <v/>
      </c>
      <c r="X66" s="201" t="str">
        <f>IF(_epmOfflineCondition_,"",IF(P66="TOTAL", " ", IF(P66="", "Total", _xll.EPMMemberProperty($A$3, P66, $U$4))))</f>
        <v/>
      </c>
      <c r="Y66" s="132">
        <v>50000</v>
      </c>
      <c r="Z66" s="202"/>
      <c r="AA66" s="132"/>
      <c r="AB66" s="85">
        <v>1</v>
      </c>
      <c r="AC66" s="202">
        <f t="shared" si="6"/>
        <v>1</v>
      </c>
      <c r="AD66" s="171">
        <f t="shared" si="7"/>
        <v>1</v>
      </c>
      <c r="AE66" s="204">
        <f t="shared" si="8"/>
        <v>0</v>
      </c>
      <c r="AF66" s="171">
        <f t="shared" si="9"/>
        <v>-49999</v>
      </c>
      <c r="AG66" s="204">
        <f t="shared" si="10"/>
        <v>-0.99997999999999998</v>
      </c>
      <c r="AH66" s="203" t="s">
        <v>145</v>
      </c>
      <c r="AI66" s="202" t="str">
        <f>IF(_epmOfflineCondition_,"-100,00%",IF(P66="TOTAL", "", _xll.EPMSaveComment(AH66, $A$3, N66, O66, P66, $E$5, $C$6, M66, $C$9, "TIPRETOT","VF", $C$13, $C$14)))</f>
        <v>-100,00%</v>
      </c>
      <c r="AJ66" s="96"/>
    </row>
    <row r="67" spans="13:36" x14ac:dyDescent="0.3">
      <c r="M67" s="109" t="str">
        <f>IF(_epmOfflineCondition_,"O0730100", _xll.EPMOlapMemberO("[ORGANIC_D].[PARENTH1].[O0730100]","","O0730100","","000"))</f>
        <v>O0730100</v>
      </c>
      <c r="N67" s="109" t="str">
        <f>IF(_epmOfflineCondition_,"E073I46209", _xll.EPMOlapMemberO("[ECONOMIC_D].[PARENTH1].[E073I46209]","","E073I46209","","000"))</f>
        <v>E073I46209</v>
      </c>
      <c r="O67" s="109" t="str">
        <f>IF(_epmOfflineCondition_,"F073I92000", _xll.EPMOlapMemberO("[FUNCTIONAL_D].[PARENTH1].[F073I92000]","","F073I92000","","000"))</f>
        <v>F073I92000</v>
      </c>
      <c r="P67" s="205" t="str">
        <f>IF(_epmOfflineCondition_,"PRDUMMY", _xll.EPMOlapMemberO("[PROJECTS_D].[PARENTH1].[PRDUMMY]","","PRDUMMY","","000"))</f>
        <v>PRDUMMY</v>
      </c>
      <c r="Q67" s="154" t="str">
        <f t="shared" si="2"/>
        <v>0100</v>
      </c>
      <c r="R67" s="154" t="str">
        <f>IF(_epmOfflineCondition_,"Consorci del Besos",IF(P67="TOTAL", " ", _xll.EPMMemberProperty($A$3, M67, $T$4)))</f>
        <v>Consorci del Besos</v>
      </c>
      <c r="S67" s="201" t="str">
        <f t="shared" si="3"/>
        <v>46209</v>
      </c>
      <c r="T67" s="201" t="str">
        <f>IF(_epmOfflineCondition_,"DE L'AJUNTAMENT DE MONTCADA (ORDINARI)",IF(P67="TOTAL", " ", _xll.EPMMemberProperty($A$3, N67, $T$4)))</f>
        <v>DE L'AJUNTAMENT DE MONTCADA (ORDINARI)</v>
      </c>
      <c r="U67" s="201" t="str">
        <f t="shared" si="4"/>
        <v>92000</v>
      </c>
      <c r="V67" s="201" t="str">
        <f>IF(_epmOfflineCondition_,"Serveis de caràcter general",IF(P67="TOTAL", " ", _xll.EPMMemberProperty($A$3, O67, $T$4)))</f>
        <v>Serveis de caràcter general</v>
      </c>
      <c r="W67" s="201" t="str">
        <f t="shared" si="5"/>
        <v/>
      </c>
      <c r="X67" s="201" t="str">
        <f>IF(_epmOfflineCondition_,"",IF(P67="TOTAL", " ", IF(P67="", "Total", _xll.EPMMemberProperty($A$3, P67, $U$4))))</f>
        <v/>
      </c>
      <c r="Y67" s="132">
        <v>50000</v>
      </c>
      <c r="Z67" s="202"/>
      <c r="AA67" s="132"/>
      <c r="AB67" s="85">
        <v>1</v>
      </c>
      <c r="AC67" s="202">
        <f t="shared" si="6"/>
        <v>1</v>
      </c>
      <c r="AD67" s="171">
        <f t="shared" si="7"/>
        <v>1</v>
      </c>
      <c r="AE67" s="204">
        <f t="shared" si="8"/>
        <v>0</v>
      </c>
      <c r="AF67" s="171">
        <f t="shared" si="9"/>
        <v>-49999</v>
      </c>
      <c r="AG67" s="204">
        <f t="shared" si="10"/>
        <v>-0.99997999999999998</v>
      </c>
      <c r="AH67" s="203" t="s">
        <v>145</v>
      </c>
      <c r="AI67" s="202" t="str">
        <f>IF(_epmOfflineCondition_,"-100,00%",IF(P67="TOTAL", "", _xll.EPMSaveComment(AH67, $A$3, N67, O67, P67, $E$5, $C$6, M67, $C$9, "TIPRETOT","VF", $C$13, $C$14)))</f>
        <v>-100,00%</v>
      </c>
      <c r="AJ67" s="96"/>
    </row>
    <row r="68" spans="13:36" x14ac:dyDescent="0.3">
      <c r="M68" s="109" t="str">
        <f>IF(_epmOfflineCondition_,"O0730100", _xll.EPMOlapMemberO("[ORGANIC_D].[PARENTH1].[O0730100]","","O0730100","","000"))</f>
        <v>O0730100</v>
      </c>
      <c r="N68" s="109" t="str">
        <f>IF(_epmOfflineCondition_,"E073I46210", _xll.EPMOlapMemberO("[ECONOMIC_D].[PARENTH1].[E073I46210]","","E073I46210","","000"))</f>
        <v>E073I46210</v>
      </c>
      <c r="O68" s="109" t="str">
        <f>IF(_epmOfflineCondition_,"F073I92000", _xll.EPMOlapMemberO("[FUNCTIONAL_D].[PARENTH1].[F073I92000]","","F073I92000","","000"))</f>
        <v>F073I92000</v>
      </c>
      <c r="P68" s="205" t="str">
        <f>IF(_epmOfflineCondition_,"PRDUMMY", _xll.EPMOlapMemberO("[PROJECTS_D].[PARENTH1].[PRDUMMY]","","PRDUMMY","","000"))</f>
        <v>PRDUMMY</v>
      </c>
      <c r="Q68" s="154" t="str">
        <f t="shared" si="2"/>
        <v>0100</v>
      </c>
      <c r="R68" s="154" t="str">
        <f>IF(_epmOfflineCondition_,"Consorci del Besos",IF(P68="TOTAL", " ", _xll.EPMMemberProperty($A$3, M68, $T$4)))</f>
        <v>Consorci del Besos</v>
      </c>
      <c r="S68" s="201" t="str">
        <f t="shared" si="3"/>
        <v>46210</v>
      </c>
      <c r="T68" s="201" t="str">
        <f>IF(_epmOfflineCondition_,"DE L'AJUNTAMENT DE BARCELONA(GESTIÓ RSU)",IF(P68="TOTAL", " ", _xll.EPMMemberProperty($A$3, N68, $T$4)))</f>
        <v>DE L'AJUNTAMENT DE BARCELONA(GESTIÓ RSU)</v>
      </c>
      <c r="U68" s="201" t="str">
        <f t="shared" si="4"/>
        <v>92000</v>
      </c>
      <c r="V68" s="201" t="str">
        <f>IF(_epmOfflineCondition_,"Serveis de caràcter general",IF(P68="TOTAL", " ", _xll.EPMMemberProperty($A$3, O68, $T$4)))</f>
        <v>Serveis de caràcter general</v>
      </c>
      <c r="W68" s="201" t="str">
        <f t="shared" si="5"/>
        <v/>
      </c>
      <c r="X68" s="201" t="str">
        <f>IF(_epmOfflineCondition_,"",IF(P68="TOTAL", " ", IF(P68="", "Total", _xll.EPMMemberProperty($A$3, P68, $U$4))))</f>
        <v/>
      </c>
      <c r="Y68" s="132"/>
      <c r="Z68" s="202"/>
      <c r="AA68" s="132"/>
      <c r="AB68" s="85">
        <v>116800</v>
      </c>
      <c r="AC68" s="202">
        <f t="shared" si="6"/>
        <v>116800</v>
      </c>
      <c r="AD68" s="171">
        <f t="shared" si="7"/>
        <v>116800</v>
      </c>
      <c r="AE68" s="204">
        <f t="shared" si="8"/>
        <v>0</v>
      </c>
      <c r="AF68" s="171">
        <f t="shared" si="9"/>
        <v>116800</v>
      </c>
      <c r="AG68" s="204">
        <f t="shared" si="10"/>
        <v>0</v>
      </c>
      <c r="AH68" s="203" t="s">
        <v>135</v>
      </c>
      <c r="AI68" s="202" t="str">
        <f>IF(_epmOfflineCondition_,"0,00%",IF(P68="TOTAL", "", _xll.EPMSaveComment(AH68, $A$3, N68, O68, P68, $E$5, $C$6, M68, $C$9, "TIPRETOT","VF", $C$13, $C$14)))</f>
        <v>0,00%</v>
      </c>
      <c r="AJ68" s="96"/>
    </row>
    <row r="69" spans="13:36" x14ac:dyDescent="0.3">
      <c r="M69" s="109" t="str">
        <f>IF(_epmOfflineCondition_,"O0730100", _xll.EPMOlapMemberO("[ORGANIC_D].[PARENTH1].[O0730100]","","O0730100","","000"))</f>
        <v>O0730100</v>
      </c>
      <c r="N69" s="109" t="str">
        <f>IF(_epmOfflineCondition_,"E073I46211", _xll.EPMOlapMemberO("[ECONOMIC_D].[PARENTH1].[E073I46211]","","E073I46211","","000"))</f>
        <v>E073I46211</v>
      </c>
      <c r="O69" s="109" t="str">
        <f>IF(_epmOfflineCondition_,"F073I92000", _xll.EPMOlapMemberO("[FUNCTIONAL_D].[PARENTH1].[F073I92000]","","F073I92000","","000"))</f>
        <v>F073I92000</v>
      </c>
      <c r="P69" s="205" t="str">
        <f>IF(_epmOfflineCondition_,"PRDUMMY", _xll.EPMOlapMemberO("[PROJECTS_D].[PARENTH1].[PRDUMMY]","","PRDUMMY","","000"))</f>
        <v>PRDUMMY</v>
      </c>
      <c r="Q69" s="154" t="str">
        <f t="shared" si="2"/>
        <v>0100</v>
      </c>
      <c r="R69" s="154" t="str">
        <f>IF(_epmOfflineCondition_,"Consorci del Besos",IF(P69="TOTAL", " ", _xll.EPMMemberProperty($A$3, M69, $T$4)))</f>
        <v>Consorci del Besos</v>
      </c>
      <c r="S69" s="201" t="str">
        <f t="shared" si="3"/>
        <v>46211</v>
      </c>
      <c r="T69" s="201" t="str">
        <f>IF(_epmOfflineCondition_,"DE L'AJUNTAMENT DE SANT ADRIÀ (GESTIÓ RSU)",IF(P69="TOTAL", " ", _xll.EPMMemberProperty($A$3, N69, $T$4)))</f>
        <v>DE L'AJUNTAMENT DE SANT ADRIÀ (GESTIÓ RSU)</v>
      </c>
      <c r="U69" s="201" t="str">
        <f t="shared" si="4"/>
        <v>92000</v>
      </c>
      <c r="V69" s="201" t="str">
        <f>IF(_epmOfflineCondition_,"Serveis de caràcter general",IF(P69="TOTAL", " ", _xll.EPMMemberProperty($A$3, O69, $T$4)))</f>
        <v>Serveis de caràcter general</v>
      </c>
      <c r="W69" s="201" t="str">
        <f t="shared" si="5"/>
        <v/>
      </c>
      <c r="X69" s="201" t="str">
        <f>IF(_epmOfflineCondition_,"",IF(P69="TOTAL", " ", IF(P69="", "Total", _xll.EPMMemberProperty($A$3, P69, $U$4))))</f>
        <v/>
      </c>
      <c r="Y69" s="132"/>
      <c r="Z69" s="202"/>
      <c r="AA69" s="132"/>
      <c r="AB69" s="85">
        <v>4360</v>
      </c>
      <c r="AC69" s="202">
        <f t="shared" si="6"/>
        <v>4360</v>
      </c>
      <c r="AD69" s="171">
        <f t="shared" si="7"/>
        <v>4360</v>
      </c>
      <c r="AE69" s="204">
        <f t="shared" si="8"/>
        <v>0</v>
      </c>
      <c r="AF69" s="171">
        <f t="shared" si="9"/>
        <v>4360</v>
      </c>
      <c r="AG69" s="204">
        <f t="shared" si="10"/>
        <v>0</v>
      </c>
      <c r="AH69" s="203" t="s">
        <v>135</v>
      </c>
      <c r="AI69" s="202" t="str">
        <f>IF(_epmOfflineCondition_,"0,00%",IF(P69="TOTAL", "", _xll.EPMSaveComment(AH69, $A$3, N69, O69, P69, $E$5, $C$6, M69, $C$9, "TIPRETOT","VF", $C$13, $C$14)))</f>
        <v>0,00%</v>
      </c>
      <c r="AJ69" s="96"/>
    </row>
    <row r="70" spans="13:36" x14ac:dyDescent="0.3">
      <c r="M70" s="109" t="str">
        <f>IF(_epmOfflineCondition_,"O0730100", _xll.EPMOlapMemberO("[ORGANIC_D].[PARENTH1].[O0730100]","","O0730100","","000"))</f>
        <v>O0730100</v>
      </c>
      <c r="N70" s="109" t="str">
        <f>IF(_epmOfflineCondition_,"E073I46212", _xll.EPMOlapMemberO("[ECONOMIC_D].[PARENTH1].[E073I46212]","","E073I46212","","000"))</f>
        <v>E073I46212</v>
      </c>
      <c r="O70" s="109" t="str">
        <f>IF(_epmOfflineCondition_,"F073I92000", _xll.EPMOlapMemberO("[FUNCTIONAL_D].[PARENTH1].[F073I92000]","","F073I92000","","000"))</f>
        <v>F073I92000</v>
      </c>
      <c r="P70" s="205" t="str">
        <f>IF(_epmOfflineCondition_,"PRDUMMY", _xll.EPMOlapMemberO("[PROJECTS_D].[PARENTH1].[PRDUMMY]","","PRDUMMY","","000"))</f>
        <v>PRDUMMY</v>
      </c>
      <c r="Q70" s="154" t="str">
        <f t="shared" si="2"/>
        <v>0100</v>
      </c>
      <c r="R70" s="154" t="str">
        <f>IF(_epmOfflineCondition_,"Consorci del Besos",IF(P70="TOTAL", " ", _xll.EPMMemberProperty($A$3, M70, $T$4)))</f>
        <v>Consorci del Besos</v>
      </c>
      <c r="S70" s="201" t="str">
        <f t="shared" si="3"/>
        <v>46212</v>
      </c>
      <c r="T70" s="201" t="str">
        <f>IF(_epmOfflineCondition_,"De l'Ajuntament Sant Adrià Parc Pau i C3",IF(P70="TOTAL", " ", _xll.EPMMemberProperty($A$3, N70, $T$4)))</f>
        <v>De l'Ajuntament Sant Adrià Parc Pau i C3</v>
      </c>
      <c r="U70" s="201" t="str">
        <f t="shared" si="4"/>
        <v>92000</v>
      </c>
      <c r="V70" s="201" t="str">
        <f>IF(_epmOfflineCondition_,"Serveis de caràcter general",IF(P70="TOTAL", " ", _xll.EPMMemberProperty($A$3, O70, $T$4)))</f>
        <v>Serveis de caràcter general</v>
      </c>
      <c r="W70" s="201" t="str">
        <f t="shared" si="5"/>
        <v/>
      </c>
      <c r="X70" s="201" t="str">
        <f>IF(_epmOfflineCondition_,"",IF(P70="TOTAL", " ", IF(P70="", "Total", _xll.EPMMemberProperty($A$3, P70, $U$4))))</f>
        <v/>
      </c>
      <c r="Y70" s="132"/>
      <c r="Z70" s="202"/>
      <c r="AA70" s="132"/>
      <c r="AB70" s="85">
        <v>52000</v>
      </c>
      <c r="AC70" s="202">
        <f t="shared" si="6"/>
        <v>52000</v>
      </c>
      <c r="AD70" s="171">
        <f t="shared" si="7"/>
        <v>52000</v>
      </c>
      <c r="AE70" s="204">
        <f t="shared" si="8"/>
        <v>0</v>
      </c>
      <c r="AF70" s="171">
        <f t="shared" si="9"/>
        <v>52000</v>
      </c>
      <c r="AG70" s="204">
        <f t="shared" si="10"/>
        <v>0</v>
      </c>
      <c r="AH70" s="203" t="s">
        <v>135</v>
      </c>
      <c r="AI70" s="202" t="str">
        <f>IF(_epmOfflineCondition_,"0,00%",IF(P70="TOTAL", "", _xll.EPMSaveComment(AH70, $A$3, N70, O70, P70, $E$5, $C$6, M70, $C$9, "TIPRETOT","VF", $C$13, $C$14)))</f>
        <v>0,00%</v>
      </c>
      <c r="AJ70" s="96"/>
    </row>
    <row r="71" spans="13:36" x14ac:dyDescent="0.3">
      <c r="M71" s="109" t="str">
        <f>IF(_epmOfflineCondition_,"O0730100", _xll.EPMOlapMemberO("[ORGANIC_D].[PARENTH1].[O0730100]","","O0730100","","000"))</f>
        <v>O0730100</v>
      </c>
      <c r="N71" s="109" t="str">
        <f>IF(_epmOfflineCondition_,"E073I46500", _xll.EPMOlapMemberO("[ECONOMIC_D].[PARENTH1].[E073I46500]","","E073I46500","","000"))</f>
        <v>E073I46500</v>
      </c>
      <c r="O71" s="109" t="str">
        <f>IF(_epmOfflineCondition_,"F073I92000", _xll.EPMOlapMemberO("[FUNCTIONAL_D].[PARENTH1].[F073I92000]","","F073I92000","","000"))</f>
        <v>F073I92000</v>
      </c>
      <c r="P71" s="205" t="str">
        <f>IF(_epmOfflineCondition_,"PRDUMMY", _xll.EPMOlapMemberO("[PROJECTS_D].[PARENTH1].[PRDUMMY]","","PRDUMMY","","000"))</f>
        <v>PRDUMMY</v>
      </c>
      <c r="Q71" s="154" t="str">
        <f t="shared" si="2"/>
        <v>0100</v>
      </c>
      <c r="R71" s="154" t="str">
        <f>IF(_epmOfflineCondition_,"Consorci del Besos",IF(P71="TOTAL", " ", _xll.EPMMemberProperty($A$3, M71, $T$4)))</f>
        <v>Consorci del Besos</v>
      </c>
      <c r="S71" s="201" t="str">
        <f t="shared" si="3"/>
        <v>46500</v>
      </c>
      <c r="T71" s="201" t="str">
        <f>IF(_epmOfflineCondition_,"DEL CONSELL COMARCAL",IF(P71="TOTAL", " ", _xll.EPMMemberProperty($A$3, N71, $T$4)))</f>
        <v>DEL CONSELL COMARCAL</v>
      </c>
      <c r="U71" s="201" t="str">
        <f t="shared" si="4"/>
        <v>92000</v>
      </c>
      <c r="V71" s="201" t="str">
        <f>IF(_epmOfflineCondition_,"Serveis de caràcter general",IF(P71="TOTAL", " ", _xll.EPMMemberProperty($A$3, O71, $T$4)))</f>
        <v>Serveis de caràcter general</v>
      </c>
      <c r="W71" s="201" t="str">
        <f t="shared" si="5"/>
        <v/>
      </c>
      <c r="X71" s="201" t="str">
        <f>IF(_epmOfflineCondition_,"",IF(P71="TOTAL", " ", IF(P71="", "Total", _xll.EPMMemberProperty($A$3, P71, $U$4))))</f>
        <v/>
      </c>
      <c r="Y71" s="132">
        <v>50000</v>
      </c>
      <c r="Z71" s="202"/>
      <c r="AA71" s="132"/>
      <c r="AB71" s="85"/>
      <c r="AC71" s="202">
        <f t="shared" si="6"/>
        <v>0</v>
      </c>
      <c r="AD71" s="171">
        <f t="shared" si="7"/>
        <v>0</v>
      </c>
      <c r="AE71" s="204">
        <f t="shared" si="8"/>
        <v>0</v>
      </c>
      <c r="AF71" s="171">
        <f t="shared" si="9"/>
        <v>-50000</v>
      </c>
      <c r="AG71" s="204">
        <f t="shared" si="10"/>
        <v>-1</v>
      </c>
      <c r="AH71" s="203" t="s">
        <v>145</v>
      </c>
      <c r="AI71" s="202" t="str">
        <f>IF(_epmOfflineCondition_,"-100,00%",IF(P71="TOTAL", "", _xll.EPMSaveComment(AH71, $A$3, N71, O71, P71, $E$5, $C$6, M71, $C$9, "TIPRETOT","VF", $C$13, $C$14)))</f>
        <v>-100,00%</v>
      </c>
      <c r="AJ71" s="96"/>
    </row>
    <row r="72" spans="13:36" x14ac:dyDescent="0.3">
      <c r="M72" s="109" t="str">
        <f>IF(_epmOfflineCondition_,"O0730100", _xll.EPMOlapMemberO("[ORGANIC_D].[PARENTH1].[O0730100]","","O0730100","","000"))</f>
        <v>O0730100</v>
      </c>
      <c r="N72" s="109" t="str">
        <f>IF(_epmOfflineCondition_,"E073I46742", _xll.EPMOlapMemberO("[ECONOMIC_D].[PARENTH1].[E073I46742]","","E073I46742","","000"))</f>
        <v>E073I46742</v>
      </c>
      <c r="O72" s="109" t="str">
        <f>IF(_epmOfflineCondition_,"F073I92000", _xll.EPMOlapMemberO("[FUNCTIONAL_D].[PARENTH1].[F073I92000]","","F073I92000","","000"))</f>
        <v>F073I92000</v>
      </c>
      <c r="P72" s="205" t="str">
        <f>IF(_epmOfflineCondition_,"PRDUMMY", _xll.EPMOlapMemberO("[PROJECTS_D].[PARENTH1].[PRDUMMY]","","PRDUMMY","","000"))</f>
        <v>PRDUMMY</v>
      </c>
      <c r="Q72" s="154" t="str">
        <f t="shared" si="2"/>
        <v>0100</v>
      </c>
      <c r="R72" s="154" t="str">
        <f>IF(_epmOfflineCondition_,"Consorci del Besos",IF(P72="TOTAL", " ", _xll.EPMMemberProperty($A$3, M72, $T$4)))</f>
        <v>Consorci del Besos</v>
      </c>
      <c r="S72" s="201" t="str">
        <f t="shared" si="3"/>
        <v>46742</v>
      </c>
      <c r="T72" s="201" t="str">
        <f>IF(_epmOfflineCondition_,"DEL CONSORCI INTERUNIVERSITARI DEL BESÒS",IF(P72="TOTAL", " ", _xll.EPMMemberProperty($A$3, N72, $T$4)))</f>
        <v>DEL CONSORCI INTERUNIVERSITARI DEL BESÒS</v>
      </c>
      <c r="U72" s="201" t="str">
        <f t="shared" si="4"/>
        <v>92000</v>
      </c>
      <c r="V72" s="201" t="str">
        <f>IF(_epmOfflineCondition_,"Serveis de caràcter general",IF(P72="TOTAL", " ", _xll.EPMMemberProperty($A$3, O72, $T$4)))</f>
        <v>Serveis de caràcter general</v>
      </c>
      <c r="W72" s="201" t="str">
        <f t="shared" si="5"/>
        <v/>
      </c>
      <c r="X72" s="201" t="str">
        <f>IF(_epmOfflineCondition_,"",IF(P72="TOTAL", " ", IF(P72="", "Total", _xll.EPMMemberProperty($A$3, P72, $U$4))))</f>
        <v/>
      </c>
      <c r="Y72" s="132">
        <v>65000</v>
      </c>
      <c r="Z72" s="202"/>
      <c r="AA72" s="132"/>
      <c r="AB72" s="85">
        <v>65000</v>
      </c>
      <c r="AC72" s="202">
        <f t="shared" si="6"/>
        <v>65000</v>
      </c>
      <c r="AD72" s="171">
        <f t="shared" si="7"/>
        <v>65000</v>
      </c>
      <c r="AE72" s="204">
        <f t="shared" si="8"/>
        <v>0</v>
      </c>
      <c r="AF72" s="171">
        <f t="shared" si="9"/>
        <v>0</v>
      </c>
      <c r="AG72" s="204">
        <f t="shared" si="10"/>
        <v>0</v>
      </c>
      <c r="AH72" s="203" t="s">
        <v>135</v>
      </c>
      <c r="AI72" s="202" t="str">
        <f>IF(_epmOfflineCondition_,"0,00%",IF(P72="TOTAL", "", _xll.EPMSaveComment(AH72, $A$3, N72, O72, P72, $E$5, $C$6, M72, $C$9, "TIPRETOT","VF", $C$13, $C$14)))</f>
        <v>0,00%</v>
      </c>
      <c r="AJ72" s="96"/>
    </row>
    <row r="73" spans="13:36" x14ac:dyDescent="0.3">
      <c r="M73" s="109" t="str">
        <f>IF(_epmOfflineCondition_,"O0730100", _xll.EPMOlapMemberO("[ORGANIC_D].[PARENTH1].[O0730100]","","O0730100","","000"))</f>
        <v>O0730100</v>
      </c>
      <c r="N73" s="109" t="str">
        <f>IF(_epmOfflineCondition_,"E073I52000", _xll.EPMOlapMemberO("[ECONOMIC_D].[PARENTH1].[E073I52000]","","E073I52000","","000"))</f>
        <v>E073I52000</v>
      </c>
      <c r="O73" s="109" t="str">
        <f>IF(_epmOfflineCondition_,"F073I92000", _xll.EPMOlapMemberO("[FUNCTIONAL_D].[PARENTH1].[F073I92000]","","F073I92000","","000"))</f>
        <v>F073I92000</v>
      </c>
      <c r="P73" s="205" t="str">
        <f>IF(_epmOfflineCondition_,"PRDUMMY", _xll.EPMOlapMemberO("[PROJECTS_D].[PARENTH1].[PRDUMMY]","","PRDUMMY","","000"))</f>
        <v>PRDUMMY</v>
      </c>
      <c r="Q73" s="154" t="str">
        <f t="shared" si="2"/>
        <v>0100</v>
      </c>
      <c r="R73" s="154" t="str">
        <f>IF(_epmOfflineCondition_,"Consorci del Besos",IF(P73="TOTAL", " ", _xll.EPMMemberProperty($A$3, M73, $T$4)))</f>
        <v>Consorci del Besos</v>
      </c>
      <c r="S73" s="201" t="str">
        <f t="shared" si="3"/>
        <v>52000</v>
      </c>
      <c r="T73" s="201" t="str">
        <f>IF(_epmOfflineCondition_,"INTERESSOS COMPTES BANCARIS",IF(P73="TOTAL", " ", _xll.EPMMemberProperty($A$3, N73, $T$4)))</f>
        <v>INTERESSOS COMPTES BANCARIS</v>
      </c>
      <c r="U73" s="201" t="str">
        <f t="shared" si="4"/>
        <v>92000</v>
      </c>
      <c r="V73" s="201" t="str">
        <f>IF(_epmOfflineCondition_,"Serveis de caràcter general",IF(P73="TOTAL", " ", _xll.EPMMemberProperty($A$3, O73, $T$4)))</f>
        <v>Serveis de caràcter general</v>
      </c>
      <c r="W73" s="201" t="str">
        <f t="shared" si="5"/>
        <v/>
      </c>
      <c r="X73" s="201" t="str">
        <f>IF(_epmOfflineCondition_,"",IF(P73="TOTAL", " ", IF(P73="", "Total", _xll.EPMMemberProperty($A$3, P73, $U$4))))</f>
        <v/>
      </c>
      <c r="Y73" s="132">
        <v>738.89</v>
      </c>
      <c r="Z73" s="202"/>
      <c r="AA73" s="132"/>
      <c r="AB73" s="85">
        <v>1</v>
      </c>
      <c r="AC73" s="202">
        <f t="shared" si="6"/>
        <v>1</v>
      </c>
      <c r="AD73" s="171">
        <f t="shared" si="7"/>
        <v>1</v>
      </c>
      <c r="AE73" s="204">
        <f t="shared" si="8"/>
        <v>0</v>
      </c>
      <c r="AF73" s="171">
        <f t="shared" si="9"/>
        <v>-737.89</v>
      </c>
      <c r="AG73" s="204">
        <f t="shared" si="10"/>
        <v>-0.99864661857651338</v>
      </c>
      <c r="AH73" s="203" t="s">
        <v>146</v>
      </c>
      <c r="AI73" s="202" t="str">
        <f>IF(_epmOfflineCondition_,"-99,86%",IF(P73="TOTAL", "", _xll.EPMSaveComment(AH73, $A$3, N73, O73, P73, $E$5, $C$6, M73, $C$9, "TIPRETOT","VF", $C$13, $C$14)))</f>
        <v>-99,86%</v>
      </c>
      <c r="AJ73" s="96"/>
    </row>
    <row r="74" spans="13:36" x14ac:dyDescent="0.3">
      <c r="M74" s="109" t="str">
        <f>IF(_epmOfflineCondition_,"O0730100", _xll.EPMOlapMemberO("[ORGANIC_D].[PARENTH1].[O0730100]","","O0730100","","000"))</f>
        <v>O0730100</v>
      </c>
      <c r="N74" s="109" t="str">
        <f>IF(_epmOfflineCondition_,"E073I54100", _xll.EPMOlapMemberO("[ECONOMIC_D].[PARENTH1].[E073I54100]","","E073I54100","","000"))</f>
        <v>E073I54100</v>
      </c>
      <c r="O74" s="109" t="str">
        <f>IF(_epmOfflineCondition_,"F073I92000", _xll.EPMOlapMemberO("[FUNCTIONAL_D].[PARENTH1].[F073I92000]","","F073I92000","","000"))</f>
        <v>F073I92000</v>
      </c>
      <c r="P74" s="205" t="str">
        <f>IF(_epmOfflineCondition_,"PRDUMMY", _xll.EPMOlapMemberO("[PROJECTS_D].[PARENTH1].[PRDUMMY]","","PRDUMMY","","000"))</f>
        <v>PRDUMMY</v>
      </c>
      <c r="Q74" s="154" t="str">
        <f t="shared" si="2"/>
        <v>0100</v>
      </c>
      <c r="R74" s="154" t="str">
        <f>IF(_epmOfflineCondition_,"Consorci del Besos",IF(P74="TOTAL", " ", _xll.EPMMemberProperty($A$3, M74, $T$4)))</f>
        <v>Consorci del Besos</v>
      </c>
      <c r="S74" s="201" t="str">
        <f t="shared" si="3"/>
        <v>54100</v>
      </c>
      <c r="T74" s="201" t="str">
        <f>IF(_epmOfflineCondition_,"LLOGUER FINQUES URBANES",IF(P74="TOTAL", " ", _xll.EPMMemberProperty($A$3, N74, $T$4)))</f>
        <v>LLOGUER FINQUES URBANES</v>
      </c>
      <c r="U74" s="201" t="str">
        <f t="shared" si="4"/>
        <v>92000</v>
      </c>
      <c r="V74" s="201" t="str">
        <f>IF(_epmOfflineCondition_,"Serveis de caràcter general",IF(P74="TOTAL", " ", _xll.EPMMemberProperty($A$3, O74, $T$4)))</f>
        <v>Serveis de caràcter general</v>
      </c>
      <c r="W74" s="201" t="str">
        <f t="shared" si="5"/>
        <v/>
      </c>
      <c r="X74" s="201" t="str">
        <f>IF(_epmOfflineCondition_,"",IF(P74="TOTAL", " ", IF(P74="", "Total", _xll.EPMMemberProperty($A$3, P74, $U$4))))</f>
        <v/>
      </c>
      <c r="Y74" s="132">
        <v>8358.27</v>
      </c>
      <c r="Z74" s="202"/>
      <c r="AA74" s="132"/>
      <c r="AB74" s="85">
        <v>8000</v>
      </c>
      <c r="AC74" s="202">
        <f t="shared" si="6"/>
        <v>8000</v>
      </c>
      <c r="AD74" s="171">
        <f t="shared" si="7"/>
        <v>8000</v>
      </c>
      <c r="AE74" s="204">
        <f t="shared" si="8"/>
        <v>0</v>
      </c>
      <c r="AF74" s="171">
        <f t="shared" si="9"/>
        <v>-358.27000000000044</v>
      </c>
      <c r="AG74" s="204">
        <f t="shared" si="10"/>
        <v>-4.2864133367311708E-2</v>
      </c>
      <c r="AH74" s="203" t="s">
        <v>147</v>
      </c>
      <c r="AI74" s="202" t="str">
        <f>IF(_epmOfflineCondition_,"-4,29%",IF(P74="TOTAL", "", _xll.EPMSaveComment(AH74, $A$3, N74, O74, P74, $E$5, $C$6, M74, $C$9, "TIPRETOT","VF", $C$13, $C$14)))</f>
        <v>-4,29%</v>
      </c>
      <c r="AJ74" s="96"/>
    </row>
    <row r="75" spans="13:36" x14ac:dyDescent="0.3">
      <c r="M75" s="109" t="str">
        <f>IF(_epmOfflineCondition_,"O0730100", _xll.EPMOlapMemberO("[ORGANIC_D].[PARENTH1].[O0730100]","","O0730100","","000"))</f>
        <v>O0730100</v>
      </c>
      <c r="N75" s="109" t="str">
        <f>IF(_epmOfflineCondition_,"E073I55100", _xll.EPMOlapMemberO("[ECONOMIC_D].[PARENTH1].[E073I55100]","","E073I55100","","000"))</f>
        <v>E073I55100</v>
      </c>
      <c r="O75" s="109" t="str">
        <f>IF(_epmOfflineCondition_,"F073I92000", _xll.EPMOlapMemberO("[FUNCTIONAL_D].[PARENTH1].[F073I92000]","","F073I92000","","000"))</f>
        <v>F073I92000</v>
      </c>
      <c r="P75" s="205" t="str">
        <f>IF(_epmOfflineCondition_,"PRDUMMY", _xll.EPMOlapMemberO("[PROJECTS_D].[PARENTH1].[PRDUMMY]","","PRDUMMY","","000"))</f>
        <v>PRDUMMY</v>
      </c>
      <c r="Q75" s="154" t="str">
        <f t="shared" si="2"/>
        <v>0100</v>
      </c>
      <c r="R75" s="154" t="str">
        <f>IF(_epmOfflineCondition_,"Consorci del Besos",IF(P75="TOTAL", " ", _xll.EPMMemberProperty($A$3, M75, $T$4)))</f>
        <v>Consorci del Besos</v>
      </c>
      <c r="S75" s="201" t="str">
        <f t="shared" si="3"/>
        <v>55100</v>
      </c>
      <c r="T75" s="201" t="str">
        <f>IF(_epmOfflineCondition_,"CONCESSIÓ DISTRICLIMA FRED I CALOR",IF(P75="TOTAL", " ", _xll.EPMMemberProperty($A$3, N75, $T$4)))</f>
        <v>CONCESSIÓ DISTRICLIMA FRED I CALOR</v>
      </c>
      <c r="U75" s="201" t="str">
        <f t="shared" si="4"/>
        <v>92000</v>
      </c>
      <c r="V75" s="201" t="str">
        <f>IF(_epmOfflineCondition_,"Serveis de caràcter general",IF(P75="TOTAL", " ", _xll.EPMMemberProperty($A$3, O75, $T$4)))</f>
        <v>Serveis de caràcter general</v>
      </c>
      <c r="W75" s="201" t="str">
        <f t="shared" si="5"/>
        <v/>
      </c>
      <c r="X75" s="201" t="str">
        <f>IF(_epmOfflineCondition_,"",IF(P75="TOTAL", " ", IF(P75="", "Total", _xll.EPMMemberProperty($A$3, P75, $U$4))))</f>
        <v/>
      </c>
      <c r="Y75" s="132">
        <v>358351.4</v>
      </c>
      <c r="Z75" s="202"/>
      <c r="AA75" s="132"/>
      <c r="AB75" s="85">
        <v>378326</v>
      </c>
      <c r="AC75" s="202">
        <f t="shared" si="6"/>
        <v>378326</v>
      </c>
      <c r="AD75" s="171">
        <f t="shared" si="7"/>
        <v>378326</v>
      </c>
      <c r="AE75" s="204">
        <f t="shared" si="8"/>
        <v>0</v>
      </c>
      <c r="AF75" s="171">
        <f t="shared" si="9"/>
        <v>19974.599999999977</v>
      </c>
      <c r="AG75" s="204">
        <f t="shared" si="10"/>
        <v>5.5740259421338874E-2</v>
      </c>
      <c r="AH75" s="203" t="s">
        <v>145</v>
      </c>
      <c r="AI75" s="202" t="str">
        <f>IF(_epmOfflineCondition_,"-100,00%",IF(P75="TOTAL", "", _xll.EPMSaveComment(AH75, $A$3, N75, O75, P75, $E$5, $C$6, M75, $C$9, "TIPRETOT","VF", $C$13, $C$14)))</f>
        <v>-100,00%</v>
      </c>
      <c r="AJ75" s="96"/>
    </row>
    <row r="76" spans="13:36" x14ac:dyDescent="0.3">
      <c r="M76" s="109" t="str">
        <f>IF(_epmOfflineCondition_,"O0730100", _xll.EPMOlapMemberO("[ORGANIC_D].[PARENTH1].[O0730100]","","O0730100","","000"))</f>
        <v>O0730100</v>
      </c>
      <c r="N76" s="109" t="str">
        <f>IF(_epmOfflineCondition_,"E073I75060", _xll.EPMOlapMemberO("[ECONOMIC_D].[PARENTH1].[E073I75060]","","E073I75060","","000"))</f>
        <v>E073I75060</v>
      </c>
      <c r="O76" s="109" t="str">
        <f>IF(_epmOfflineCondition_,"F073I92000", _xll.EPMOlapMemberO("[FUNCTIONAL_D].[PARENTH1].[F073I92000]","","F073I92000","","000"))</f>
        <v>F073I92000</v>
      </c>
      <c r="P76" s="205" t="str">
        <f>IF(_epmOfflineCondition_,"PRDUMMY", _xll.EPMOlapMemberO("[PROJECTS_D].[PARENTH1].[PRDUMMY]","","PRDUMMY","","000"))</f>
        <v>PRDUMMY</v>
      </c>
      <c r="Q76" s="154" t="str">
        <f t="shared" si="2"/>
        <v>0100</v>
      </c>
      <c r="R76" s="154" t="str">
        <f>IF(_epmOfflineCondition_,"Consorci del Besos",IF(P76="TOTAL", " ", _xll.EPMMemberProperty($A$3, M76, $T$4)))</f>
        <v>Consorci del Besos</v>
      </c>
      <c r="S76" s="201" t="str">
        <f t="shared" si="3"/>
        <v>75060</v>
      </c>
      <c r="T76" s="201" t="str">
        <f>IF(_epmOfflineCondition_,"DE LA GENERALITAT DE CATALUNYA PER ALTRES CONVENIS",IF(P76="TOTAL", " ", _xll.EPMMemberProperty($A$3, N76, $T$4)))</f>
        <v>DE LA GENERALITAT DE CATALUNYA PER ALTRES CONVENIS</v>
      </c>
      <c r="U76" s="201" t="str">
        <f t="shared" si="4"/>
        <v>92000</v>
      </c>
      <c r="V76" s="201" t="str">
        <f>IF(_epmOfflineCondition_,"Serveis de caràcter general",IF(P76="TOTAL", " ", _xll.EPMMemberProperty($A$3, O76, $T$4)))</f>
        <v>Serveis de caràcter general</v>
      </c>
      <c r="W76" s="201" t="str">
        <f t="shared" si="5"/>
        <v/>
      </c>
      <c r="X76" s="201" t="str">
        <f>IF(_epmOfflineCondition_,"",IF(P76="TOTAL", " ", IF(P76="", "Total", _xll.EPMMemberProperty($A$3, P76, $U$4))))</f>
        <v/>
      </c>
      <c r="Y76" s="132"/>
      <c r="Z76" s="202"/>
      <c r="AA76" s="132"/>
      <c r="AB76" s="85">
        <v>1</v>
      </c>
      <c r="AC76" s="202">
        <f t="shared" si="6"/>
        <v>1</v>
      </c>
      <c r="AD76" s="171">
        <f t="shared" si="7"/>
        <v>1</v>
      </c>
      <c r="AE76" s="204">
        <f t="shared" si="8"/>
        <v>0</v>
      </c>
      <c r="AF76" s="171">
        <f t="shared" si="9"/>
        <v>1</v>
      </c>
      <c r="AG76" s="204">
        <f t="shared" si="10"/>
        <v>0</v>
      </c>
      <c r="AH76" s="203" t="s">
        <v>135</v>
      </c>
      <c r="AI76" s="202" t="str">
        <f>IF(_epmOfflineCondition_,"0,00%",IF(P76="TOTAL", "", _xll.EPMSaveComment(AH76, $A$3, N76, O76, P76, $E$5, $C$6, M76, $C$9, "TIPRETOT","VF", $C$13, $C$14)))</f>
        <v>0,00%</v>
      </c>
      <c r="AJ76" s="96"/>
    </row>
    <row r="77" spans="13:36" x14ac:dyDescent="0.3">
      <c r="M77" s="109" t="str">
        <f>IF(_epmOfflineCondition_,"O0730100", _xll.EPMOlapMemberO("[ORGANIC_D].[PARENTH1].[O0730100]","","O0730100","","000"))</f>
        <v>O0730100</v>
      </c>
      <c r="N77" s="109" t="str">
        <f>IF(_epmOfflineCondition_,"E073I75300", _xll.EPMOlapMemberO("[ECONOMIC_D].[PARENTH1].[E073I75300]","","E073I75300","","000"))</f>
        <v>E073I75300</v>
      </c>
      <c r="O77" s="109" t="str">
        <f>IF(_epmOfflineCondition_,"F073I92000", _xll.EPMOlapMemberO("[FUNCTIONAL_D].[PARENTH1].[F073I92000]","","F073I92000","","000"))</f>
        <v>F073I92000</v>
      </c>
      <c r="P77" s="205" t="str">
        <f>IF(_epmOfflineCondition_,"PRDUMMY", _xll.EPMOlapMemberO("[PROJECTS_D].[PARENTH1].[PRDUMMY]","","PRDUMMY","","000"))</f>
        <v>PRDUMMY</v>
      </c>
      <c r="Q77" s="154" t="str">
        <f t="shared" si="2"/>
        <v>0100</v>
      </c>
      <c r="R77" s="154" t="str">
        <f>IF(_epmOfflineCondition_,"Consorci del Besos",IF(P77="TOTAL", " ", _xll.EPMMemberProperty($A$3, M77, $T$4)))</f>
        <v>Consorci del Besos</v>
      </c>
      <c r="S77" s="201" t="str">
        <f t="shared" si="3"/>
        <v>75300</v>
      </c>
      <c r="T77" s="201" t="str">
        <f>IF(_epmOfflineCondition_,"DE LA UNIVERSITAT POLITÈCNICA DE CATALUNYA",IF(P77="TOTAL", " ", _xll.EPMMemberProperty($A$3, N77, $T$4)))</f>
        <v>DE LA UNIVERSITAT POLITÈCNICA DE CATALUNYA</v>
      </c>
      <c r="U77" s="201" t="str">
        <f t="shared" si="4"/>
        <v>92000</v>
      </c>
      <c r="V77" s="201" t="str">
        <f>IF(_epmOfflineCondition_,"Serveis de caràcter general",IF(P77="TOTAL", " ", _xll.EPMMemberProperty($A$3, O77, $T$4)))</f>
        <v>Serveis de caràcter general</v>
      </c>
      <c r="W77" s="201" t="str">
        <f t="shared" si="5"/>
        <v/>
      </c>
      <c r="X77" s="201" t="str">
        <f>IF(_epmOfflineCondition_,"",IF(P77="TOTAL", " ", IF(P77="", "Total", _xll.EPMMemberProperty($A$3, P77, $U$4))))</f>
        <v/>
      </c>
      <c r="Y77" s="132"/>
      <c r="Z77" s="202"/>
      <c r="AA77" s="132"/>
      <c r="AB77" s="85">
        <v>1</v>
      </c>
      <c r="AC77" s="202">
        <f t="shared" si="6"/>
        <v>1</v>
      </c>
      <c r="AD77" s="171">
        <f t="shared" si="7"/>
        <v>1</v>
      </c>
      <c r="AE77" s="204">
        <f t="shared" si="8"/>
        <v>0</v>
      </c>
      <c r="AF77" s="171">
        <f t="shared" si="9"/>
        <v>1</v>
      </c>
      <c r="AG77" s="204">
        <f t="shared" si="10"/>
        <v>0</v>
      </c>
      <c r="AH77" s="203" t="s">
        <v>135</v>
      </c>
      <c r="AI77" s="202" t="str">
        <f>IF(_epmOfflineCondition_,"0,00%",IF(P77="TOTAL", "", _xll.EPMSaveComment(AH77, $A$3, N77, O77, P77, $E$5, $C$6, M77, $C$9, "TIPRETOT","VF", $C$13, $C$14)))</f>
        <v>0,00%</v>
      </c>
      <c r="AJ77" s="96"/>
    </row>
    <row r="78" spans="13:36" x14ac:dyDescent="0.3">
      <c r="M78" s="109" t="str">
        <f>IF(_epmOfflineCondition_,"O0730100", _xll.EPMOlapMemberO("[ORGANIC_D].[PARENTH1].[O0730100]","","O0730100","","000"))</f>
        <v>O0730100</v>
      </c>
      <c r="N78" s="109" t="str">
        <f>IF(_epmOfflineCondition_,"E073I76100", _xll.EPMOlapMemberO("[ECONOMIC_D].[PARENTH1].[E073I76100]","","E073I76100","","000"))</f>
        <v>E073I76100</v>
      </c>
      <c r="O78" s="109" t="str">
        <f>IF(_epmOfflineCondition_,"F073I92000", _xll.EPMOlapMemberO("[FUNCTIONAL_D].[PARENTH1].[F073I92000]","","F073I92000","","000"))</f>
        <v>F073I92000</v>
      </c>
      <c r="P78" s="205" t="str">
        <f>IF(_epmOfflineCondition_,"PRDUMMY", _xll.EPMOlapMemberO("[PROJECTS_D].[PARENTH1].[PRDUMMY]","","PRDUMMY","","000"))</f>
        <v>PRDUMMY</v>
      </c>
      <c r="Q78" s="154" t="str">
        <f t="shared" si="2"/>
        <v>0100</v>
      </c>
      <c r="R78" s="154" t="str">
        <f>IF(_epmOfflineCondition_,"Consorci del Besos",IF(P78="TOTAL", " ", _xll.EPMMemberProperty($A$3, M78, $T$4)))</f>
        <v>Consorci del Besos</v>
      </c>
      <c r="S78" s="201" t="str">
        <f t="shared" si="3"/>
        <v>76100</v>
      </c>
      <c r="T78" s="201" t="str">
        <f>IF(_epmOfflineCondition_,"DE LA DIPUTACIÓ DE BARCELONA",IF(P78="TOTAL", " ", _xll.EPMMemberProperty($A$3, N78, $T$4)))</f>
        <v>DE LA DIPUTACIÓ DE BARCELONA</v>
      </c>
      <c r="U78" s="201" t="str">
        <f t="shared" si="4"/>
        <v>92000</v>
      </c>
      <c r="V78" s="201" t="str">
        <f>IF(_epmOfflineCondition_,"Serveis de caràcter general",IF(P78="TOTAL", " ", _xll.EPMMemberProperty($A$3, O78, $T$4)))</f>
        <v>Serveis de caràcter general</v>
      </c>
      <c r="W78" s="201" t="str">
        <f t="shared" si="5"/>
        <v/>
      </c>
      <c r="X78" s="201" t="str">
        <f>IF(_epmOfflineCondition_,"",IF(P78="TOTAL", " ", IF(P78="", "Total", _xll.EPMMemberProperty($A$3, P78, $U$4))))</f>
        <v/>
      </c>
      <c r="Y78" s="132"/>
      <c r="Z78" s="202"/>
      <c r="AA78" s="132"/>
      <c r="AB78" s="85">
        <v>1</v>
      </c>
      <c r="AC78" s="202">
        <f t="shared" si="6"/>
        <v>1</v>
      </c>
      <c r="AD78" s="171">
        <f t="shared" si="7"/>
        <v>1</v>
      </c>
      <c r="AE78" s="204">
        <f t="shared" si="8"/>
        <v>0</v>
      </c>
      <c r="AF78" s="171">
        <f t="shared" si="9"/>
        <v>1</v>
      </c>
      <c r="AG78" s="204">
        <f t="shared" si="10"/>
        <v>0</v>
      </c>
      <c r="AH78" s="203" t="s">
        <v>135</v>
      </c>
      <c r="AI78" s="202" t="str">
        <f>IF(_epmOfflineCondition_,"0,00%",IF(P78="TOTAL", "", _xll.EPMSaveComment(AH78, $A$3, N78, O78, P78, $E$5, $C$6, M78, $C$9, "TIPRETOT","VF", $C$13, $C$14)))</f>
        <v>0,00%</v>
      </c>
      <c r="AJ78" s="96"/>
    </row>
    <row r="79" spans="13:36" x14ac:dyDescent="0.3">
      <c r="M79" s="109" t="str">
        <f>IF(_epmOfflineCondition_,"O0730100", _xll.EPMOlapMemberO("[ORGANIC_D].[PARENTH1].[O0730100]","","O0730100","","000"))</f>
        <v>O0730100</v>
      </c>
      <c r="N79" s="109" t="str">
        <f>IF(_epmOfflineCondition_,"E073I76200", _xll.EPMOlapMemberO("[ECONOMIC_D].[PARENTH1].[E073I76200]","","E073I76200","","000"))</f>
        <v>E073I76200</v>
      </c>
      <c r="O79" s="109" t="str">
        <f>IF(_epmOfflineCondition_,"F073I92000", _xll.EPMOlapMemberO("[FUNCTIONAL_D].[PARENTH1].[F073I92000]","","F073I92000","","000"))</f>
        <v>F073I92000</v>
      </c>
      <c r="P79" s="205" t="str">
        <f>IF(_epmOfflineCondition_,"PRDUMMY", _xll.EPMOlapMemberO("[PROJECTS_D].[PARENTH1].[PRDUMMY]","","PRDUMMY","","000"))</f>
        <v>PRDUMMY</v>
      </c>
      <c r="Q79" s="154" t="str">
        <f t="shared" si="2"/>
        <v>0100</v>
      </c>
      <c r="R79" s="154" t="str">
        <f>IF(_epmOfflineCondition_,"Consorci del Besos",IF(P79="TOTAL", " ", _xll.EPMMemberProperty($A$3, M79, $T$4)))</f>
        <v>Consorci del Besos</v>
      </c>
      <c r="S79" s="201" t="str">
        <f t="shared" si="3"/>
        <v>76200</v>
      </c>
      <c r="T79" s="201" t="str">
        <f>IF(_epmOfflineCondition_,"DE L'AJUNTAMENT DE BARCELONA (REC COMTAL)",IF(P79="TOTAL", " ", _xll.EPMMemberProperty($A$3, N79, $T$4)))</f>
        <v>DE L'AJUNTAMENT DE BARCELONA (REC COMTAL)</v>
      </c>
      <c r="U79" s="201" t="str">
        <f t="shared" si="4"/>
        <v>92000</v>
      </c>
      <c r="V79" s="201" t="str">
        <f>IF(_epmOfflineCondition_,"Serveis de caràcter general",IF(P79="TOTAL", " ", _xll.EPMMemberProperty($A$3, O79, $T$4)))</f>
        <v>Serveis de caràcter general</v>
      </c>
      <c r="W79" s="201" t="str">
        <f t="shared" si="5"/>
        <v/>
      </c>
      <c r="X79" s="201" t="str">
        <f>IF(_epmOfflineCondition_,"",IF(P79="TOTAL", " ", IF(P79="", "Total", _xll.EPMMemberProperty($A$3, P79, $U$4))))</f>
        <v/>
      </c>
      <c r="Y79" s="132">
        <v>650000</v>
      </c>
      <c r="Z79" s="202"/>
      <c r="AA79" s="132"/>
      <c r="AB79" s="85">
        <v>1</v>
      </c>
      <c r="AC79" s="202">
        <f t="shared" si="6"/>
        <v>1</v>
      </c>
      <c r="AD79" s="171">
        <f t="shared" si="7"/>
        <v>1</v>
      </c>
      <c r="AE79" s="204">
        <f t="shared" si="8"/>
        <v>0</v>
      </c>
      <c r="AF79" s="171">
        <f t="shared" si="9"/>
        <v>-649999</v>
      </c>
      <c r="AG79" s="204">
        <f t="shared" si="10"/>
        <v>-0.9999984615384615</v>
      </c>
      <c r="AH79" s="203" t="s">
        <v>145</v>
      </c>
      <c r="AI79" s="202" t="str">
        <f>IF(_epmOfflineCondition_,"-100,00%",IF(P79="TOTAL", "", _xll.EPMSaveComment(AH79, $A$3, N79, O79, P79, $E$5, $C$6, M79, $C$9, "TIPRETOT","VF", $C$13, $C$14)))</f>
        <v>-100,00%</v>
      </c>
      <c r="AJ79" s="96"/>
    </row>
    <row r="80" spans="13:36" x14ac:dyDescent="0.3">
      <c r="M80" s="109" t="str">
        <f>IF(_epmOfflineCondition_,"O0730100", _xll.EPMOlapMemberO("[ORGANIC_D].[PARENTH1].[O0730100]","","O0730100","","000"))</f>
        <v>O0730100</v>
      </c>
      <c r="N80" s="109" t="str">
        <f>IF(_epmOfflineCondition_,"E073I76201", _xll.EPMOlapMemberO("[ECONOMIC_D].[PARENTH1].[E073I76201]","","E073I76201","","000"))</f>
        <v>E073I76201</v>
      </c>
      <c r="O80" s="109" t="str">
        <f>IF(_epmOfflineCondition_,"F073I92000", _xll.EPMOlapMemberO("[FUNCTIONAL_D].[PARENTH1].[F073I92000]","","F073I92000","","000"))</f>
        <v>F073I92000</v>
      </c>
      <c r="P80" s="205" t="str">
        <f>IF(_epmOfflineCondition_,"PRDUMMY", _xll.EPMOlapMemberO("[PROJECTS_D].[PARENTH1].[PRDUMMY]","","PRDUMMY","","000"))</f>
        <v>PRDUMMY</v>
      </c>
      <c r="Q80" s="154" t="str">
        <f t="shared" si="2"/>
        <v>0100</v>
      </c>
      <c r="R80" s="154" t="str">
        <f>IF(_epmOfflineCondition_,"Consorci del Besos",IF(P80="TOTAL", " ", _xll.EPMMemberProperty($A$3, M80, $T$4)))</f>
        <v>Consorci del Besos</v>
      </c>
      <c r="S80" s="201" t="str">
        <f t="shared" si="3"/>
        <v>76201</v>
      </c>
      <c r="T80" s="201" t="str">
        <f>IF(_epmOfflineCondition_,"DE L'AJUNTAMENT DE BARCELONA (CAMP DE RUGBI I PASS",IF(P80="TOTAL", " ", _xll.EPMMemberProperty($A$3, N80, $T$4)))</f>
        <v>DE L'AJUNTAMENT DE BARCELONA (CAMP DE RUGBI I PASS</v>
      </c>
      <c r="U80" s="201" t="str">
        <f t="shared" si="4"/>
        <v>92000</v>
      </c>
      <c r="V80" s="201" t="str">
        <f>IF(_epmOfflineCondition_,"Serveis de caràcter general",IF(P80="TOTAL", " ", _xll.EPMMemberProperty($A$3, O80, $T$4)))</f>
        <v>Serveis de caràcter general</v>
      </c>
      <c r="W80" s="201" t="str">
        <f t="shared" si="5"/>
        <v/>
      </c>
      <c r="X80" s="201" t="str">
        <f>IF(_epmOfflineCondition_,"",IF(P80="TOTAL", " ", IF(P80="", "Total", _xll.EPMMemberProperty($A$3, P80, $U$4))))</f>
        <v/>
      </c>
      <c r="Y80" s="132"/>
      <c r="Z80" s="202"/>
      <c r="AA80" s="132"/>
      <c r="AB80" s="85">
        <v>1</v>
      </c>
      <c r="AC80" s="202">
        <f t="shared" si="6"/>
        <v>1</v>
      </c>
      <c r="AD80" s="171">
        <f t="shared" si="7"/>
        <v>1</v>
      </c>
      <c r="AE80" s="204">
        <f t="shared" si="8"/>
        <v>0</v>
      </c>
      <c r="AF80" s="171">
        <f t="shared" si="9"/>
        <v>1</v>
      </c>
      <c r="AG80" s="204">
        <f t="shared" si="10"/>
        <v>0</v>
      </c>
      <c r="AH80" s="203" t="s">
        <v>135</v>
      </c>
      <c r="AI80" s="202" t="str">
        <f>IF(_epmOfflineCondition_,"0,00%",IF(P80="TOTAL", "", _xll.EPMSaveComment(AH80, $A$3, N80, O80, P80, $E$5, $C$6, M80, $C$9, "TIPRETOT","VF", $C$13, $C$14)))</f>
        <v>0,00%</v>
      </c>
      <c r="AJ80" s="96"/>
    </row>
    <row r="81" spans="13:36" x14ac:dyDescent="0.3">
      <c r="M81" s="109" t="str">
        <f>IF(_epmOfflineCondition_,"O0730100", _xll.EPMOlapMemberO("[ORGANIC_D].[PARENTH1].[O0730100]","","O0730100","","000"))</f>
        <v>O0730100</v>
      </c>
      <c r="N81" s="109" t="str">
        <f>IF(_epmOfflineCondition_,"E073I76205", _xll.EPMOlapMemberO("[ECONOMIC_D].[PARENTH1].[E073I76205]","","E073I76205","","000"))</f>
        <v>E073I76205</v>
      </c>
      <c r="O81" s="109" t="str">
        <f>IF(_epmOfflineCondition_,"F073I92000", _xll.EPMOlapMemberO("[FUNCTIONAL_D].[PARENTH1].[F073I92000]","","F073I92000","","000"))</f>
        <v>F073I92000</v>
      </c>
      <c r="P81" s="205" t="str">
        <f>IF(_epmOfflineCondition_,"PRDUMMY", _xll.EPMOlapMemberO("[PROJECTS_D].[PARENTH1].[PRDUMMY]","","PRDUMMY","","000"))</f>
        <v>PRDUMMY</v>
      </c>
      <c r="Q81" s="154" t="str">
        <f t="shared" si="2"/>
        <v>0100</v>
      </c>
      <c r="R81" s="154" t="str">
        <f>IF(_epmOfflineCondition_,"Consorci del Besos",IF(P81="TOTAL", " ", _xll.EPMMemberProperty($A$3, M81, $T$4)))</f>
        <v>Consorci del Besos</v>
      </c>
      <c r="S81" s="201" t="str">
        <f t="shared" si="3"/>
        <v>76205</v>
      </c>
      <c r="T81" s="201" t="str">
        <f>IF(_epmOfflineCondition_,"DE L'AJUNTAMENT DE SANT ADRIÀ",IF(P81="TOTAL", " ", _xll.EPMMemberProperty($A$3, N81, $T$4)))</f>
        <v>DE L'AJUNTAMENT DE SANT ADRIÀ</v>
      </c>
      <c r="U81" s="201" t="str">
        <f t="shared" si="4"/>
        <v>92000</v>
      </c>
      <c r="V81" s="201" t="str">
        <f>IF(_epmOfflineCondition_,"Serveis de caràcter general",IF(P81="TOTAL", " ", _xll.EPMMemberProperty($A$3, O81, $T$4)))</f>
        <v>Serveis de caràcter general</v>
      </c>
      <c r="W81" s="201" t="str">
        <f t="shared" si="5"/>
        <v/>
      </c>
      <c r="X81" s="201" t="str">
        <f>IF(_epmOfflineCondition_,"",IF(P81="TOTAL", " ", IF(P81="", "Total", _xll.EPMMemberProperty($A$3, P81, $U$4))))</f>
        <v/>
      </c>
      <c r="Y81" s="132"/>
      <c r="Z81" s="202"/>
      <c r="AA81" s="132"/>
      <c r="AB81" s="85">
        <v>1</v>
      </c>
      <c r="AC81" s="202">
        <f t="shared" si="6"/>
        <v>1</v>
      </c>
      <c r="AD81" s="171">
        <f t="shared" si="7"/>
        <v>1</v>
      </c>
      <c r="AE81" s="204">
        <f t="shared" si="8"/>
        <v>0</v>
      </c>
      <c r="AF81" s="171">
        <f t="shared" si="9"/>
        <v>1</v>
      </c>
      <c r="AG81" s="204">
        <f t="shared" si="10"/>
        <v>0</v>
      </c>
      <c r="AH81" s="203" t="s">
        <v>135</v>
      </c>
      <c r="AI81" s="202" t="str">
        <f>IF(_epmOfflineCondition_,"0,00%",IF(P81="TOTAL", "", _xll.EPMSaveComment(AH81, $A$3, N81, O81, P81, $E$5, $C$6, M81, $C$9, "TIPRETOT","VF", $C$13, $C$14)))</f>
        <v>0,00%</v>
      </c>
      <c r="AJ81" s="96"/>
    </row>
    <row r="82" spans="13:36" x14ac:dyDescent="0.3">
      <c r="M82" s="109" t="str">
        <f>IF(_epmOfflineCondition_,"O0730100", _xll.EPMOlapMemberO("[ORGANIC_D].[PARENTH1].[O0730100]","","O0730100","","000"))</f>
        <v>O0730100</v>
      </c>
      <c r="N82" s="109" t="str">
        <f>IF(_epmOfflineCondition_,"E073I76300", _xll.EPMOlapMemberO("[ECONOMIC_D].[PARENTH1].[E073I76300]","","E073I76300","","000"))</f>
        <v>E073I76300</v>
      </c>
      <c r="O82" s="109" t="str">
        <f>IF(_epmOfflineCondition_,"F073I92000", _xll.EPMOlapMemberO("[FUNCTIONAL_D].[PARENTH1].[F073I92000]","","F073I92000","","000"))</f>
        <v>F073I92000</v>
      </c>
      <c r="P82" s="205" t="str">
        <f>IF(_epmOfflineCondition_,"PRDUMMY", _xll.EPMOlapMemberO("[PROJECTS_D].[PARENTH1].[PRDUMMY]","","PRDUMMY","","000"))</f>
        <v>PRDUMMY</v>
      </c>
      <c r="Q82" s="154" t="str">
        <f t="shared" si="2"/>
        <v>0100</v>
      </c>
      <c r="R82" s="154" t="str">
        <f>IF(_epmOfflineCondition_,"Consorci del Besos",IF(P82="TOTAL", " ", _xll.EPMMemberProperty($A$3, M82, $T$4)))</f>
        <v>Consorci del Besos</v>
      </c>
      <c r="S82" s="201" t="str">
        <f t="shared" si="3"/>
        <v>76300</v>
      </c>
      <c r="T82" s="201" t="str">
        <f>IF(_epmOfflineCondition_,"DE LA MANCOMUNITAT DE MUNICIPIS",IF(P82="TOTAL", " ", _xll.EPMMemberProperty($A$3, N82, $T$4)))</f>
        <v>DE LA MANCOMUNITAT DE MUNICIPIS</v>
      </c>
      <c r="U82" s="201" t="str">
        <f t="shared" si="4"/>
        <v>92000</v>
      </c>
      <c r="V82" s="201" t="str">
        <f>IF(_epmOfflineCondition_,"Serveis de caràcter general",IF(P82="TOTAL", " ", _xll.EPMMemberProperty($A$3, O82, $T$4)))</f>
        <v>Serveis de caràcter general</v>
      </c>
      <c r="W82" s="201" t="str">
        <f t="shared" si="5"/>
        <v/>
      </c>
      <c r="X82" s="201" t="str">
        <f>IF(_epmOfflineCondition_,"",IF(P82="TOTAL", " ", IF(P82="", "Total", _xll.EPMMemberProperty($A$3, P82, $U$4))))</f>
        <v/>
      </c>
      <c r="Y82" s="132"/>
      <c r="Z82" s="202"/>
      <c r="AA82" s="132"/>
      <c r="AB82" s="85">
        <v>1</v>
      </c>
      <c r="AC82" s="202">
        <f t="shared" si="6"/>
        <v>1</v>
      </c>
      <c r="AD82" s="171">
        <f t="shared" si="7"/>
        <v>1</v>
      </c>
      <c r="AE82" s="204">
        <f t="shared" si="8"/>
        <v>0</v>
      </c>
      <c r="AF82" s="171">
        <f t="shared" si="9"/>
        <v>1</v>
      </c>
      <c r="AG82" s="204">
        <f t="shared" si="10"/>
        <v>0</v>
      </c>
      <c r="AH82" s="203" t="s">
        <v>135</v>
      </c>
      <c r="AI82" s="202" t="str">
        <f>IF(_epmOfflineCondition_,"0,00%",IF(P82="TOTAL", "", _xll.EPMSaveComment(AH82, $A$3, N82, O82, P82, $E$5, $C$6, M82, $C$9, "TIPRETOT","VF", $C$13, $C$14)))</f>
        <v>0,00%</v>
      </c>
      <c r="AJ82" s="96"/>
    </row>
    <row r="83" spans="13:36" x14ac:dyDescent="0.3">
      <c r="M83" s="109" t="str">
        <f>IF(_epmOfflineCondition_,"O0730100", _xll.EPMOlapMemberO("[ORGANIC_D].[PARENTH1].[O0730100]","","O0730100","","000"))</f>
        <v>O0730100</v>
      </c>
      <c r="N83" s="109" t="str">
        <f>IF(_epmOfflineCondition_,"E073I76500", _xll.EPMOlapMemberO("[ECONOMIC_D].[PARENTH1].[E073I76500]","","E073I76500","","000"))</f>
        <v>E073I76500</v>
      </c>
      <c r="O83" s="109" t="str">
        <f>IF(_epmOfflineCondition_,"F073I92000", _xll.EPMOlapMemberO("[FUNCTIONAL_D].[PARENTH1].[F073I92000]","","F073I92000","","000"))</f>
        <v>F073I92000</v>
      </c>
      <c r="P83" s="205" t="str">
        <f>IF(_epmOfflineCondition_,"PRDUMMY", _xll.EPMOlapMemberO("[PROJECTS_D].[PARENTH1].[PRDUMMY]","","PRDUMMY","","000"))</f>
        <v>PRDUMMY</v>
      </c>
      <c r="Q83" s="154" t="str">
        <f t="shared" si="2"/>
        <v>0100</v>
      </c>
      <c r="R83" s="154" t="str">
        <f>IF(_epmOfflineCondition_,"Consorci del Besos",IF(P83="TOTAL", " ", _xll.EPMMemberProperty($A$3, M83, $T$4)))</f>
        <v>Consorci del Besos</v>
      </c>
      <c r="S83" s="201" t="str">
        <f t="shared" si="3"/>
        <v>76500</v>
      </c>
      <c r="T83" s="201" t="str">
        <f>IF(_epmOfflineCondition_,"DEL CONSELL COMARCAL",IF(P83="TOTAL", " ", _xll.EPMMemberProperty($A$3, N83, $T$4)))</f>
        <v>DEL CONSELL COMARCAL</v>
      </c>
      <c r="U83" s="201" t="str">
        <f t="shared" si="4"/>
        <v>92000</v>
      </c>
      <c r="V83" s="201" t="str">
        <f>IF(_epmOfflineCondition_,"Serveis de caràcter general",IF(P83="TOTAL", " ", _xll.EPMMemberProperty($A$3, O83, $T$4)))</f>
        <v>Serveis de caràcter general</v>
      </c>
      <c r="W83" s="201" t="str">
        <f t="shared" si="5"/>
        <v/>
      </c>
      <c r="X83" s="201" t="str">
        <f>IF(_epmOfflineCondition_,"",IF(P83="TOTAL", " ", IF(P83="", "Total", _xll.EPMMemberProperty($A$3, P83, $U$4))))</f>
        <v/>
      </c>
      <c r="Y83" s="132"/>
      <c r="Z83" s="202"/>
      <c r="AA83" s="132"/>
      <c r="AB83" s="85">
        <v>1</v>
      </c>
      <c r="AC83" s="202">
        <f t="shared" si="6"/>
        <v>1</v>
      </c>
      <c r="AD83" s="171">
        <f t="shared" si="7"/>
        <v>1</v>
      </c>
      <c r="AE83" s="204">
        <f t="shared" si="8"/>
        <v>0</v>
      </c>
      <c r="AF83" s="171">
        <f t="shared" si="9"/>
        <v>1</v>
      </c>
      <c r="AG83" s="204">
        <f t="shared" si="10"/>
        <v>0</v>
      </c>
      <c r="AH83" s="203" t="s">
        <v>135</v>
      </c>
      <c r="AI83" s="202" t="str">
        <f>IF(_epmOfflineCondition_,"0,00%",IF(P83="TOTAL", "", _xll.EPMSaveComment(AH83, $A$3, N83, O83, P83, $E$5, $C$6, M83, $C$9, "TIPRETOT","VF", $C$13, $C$14)))</f>
        <v>0,00%</v>
      </c>
      <c r="AJ83" s="96"/>
    </row>
    <row r="84" spans="13:36" x14ac:dyDescent="0.3">
      <c r="M84" s="109" t="str">
        <f>IF(_epmOfflineCondition_,"O0730100", _xll.EPMOlapMemberO("[ORGANIC_D].[PARENTH1].[O0730100]","","O0730100","","000"))</f>
        <v>O0730100</v>
      </c>
      <c r="N84" s="109" t="str">
        <f>IF(_epmOfflineCondition_,"E073I76701", _xll.EPMOlapMemberO("[ECONOMIC_D].[PARENTH1].[E073I76701]","","E073I76701","","000"))</f>
        <v>E073I76701</v>
      </c>
      <c r="O84" s="109" t="str">
        <f>IF(_epmOfflineCondition_,"F073I92000", _xll.EPMOlapMemberO("[FUNCTIONAL_D].[PARENTH1].[F073I92000]","","F073I92000","","000"))</f>
        <v>F073I92000</v>
      </c>
      <c r="P84" s="205" t="str">
        <f>IF(_epmOfflineCondition_,"PRDUMMY", _xll.EPMOlapMemberO("[PROJECTS_D].[PARENTH1].[PRDUMMY]","","PRDUMMY","","000"))</f>
        <v>PRDUMMY</v>
      </c>
      <c r="Q84" s="154" t="str">
        <f t="shared" si="2"/>
        <v>0100</v>
      </c>
      <c r="R84" s="154" t="str">
        <f>IF(_epmOfflineCondition_,"Consorci del Besos",IF(P84="TOTAL", " ", _xll.EPMMemberProperty($A$3, M84, $T$4)))</f>
        <v>Consorci del Besos</v>
      </c>
      <c r="S84" s="201" t="str">
        <f t="shared" si="3"/>
        <v>76701</v>
      </c>
      <c r="T84" s="201" t="str">
        <f>IF(_epmOfflineCondition_,"DE L'AUTORITAT METROPOLITANA DEL TRANSPORT",IF(P84="TOTAL", " ", _xll.EPMMemberProperty($A$3, N84, $T$4)))</f>
        <v>DE L'AUTORITAT METROPOLITANA DEL TRANSPORT</v>
      </c>
      <c r="U84" s="201" t="str">
        <f t="shared" si="4"/>
        <v>92000</v>
      </c>
      <c r="V84" s="201" t="str">
        <f>IF(_epmOfflineCondition_,"Serveis de caràcter general",IF(P84="TOTAL", " ", _xll.EPMMemberProperty($A$3, O84, $T$4)))</f>
        <v>Serveis de caràcter general</v>
      </c>
      <c r="W84" s="201" t="str">
        <f t="shared" si="5"/>
        <v/>
      </c>
      <c r="X84" s="201" t="str">
        <f>IF(_epmOfflineCondition_,"",IF(P84="TOTAL", " ", IF(P84="", "Total", _xll.EPMMemberProperty($A$3, P84, $U$4))))</f>
        <v/>
      </c>
      <c r="Y84" s="132"/>
      <c r="Z84" s="202"/>
      <c r="AA84" s="132"/>
      <c r="AB84" s="85">
        <v>1</v>
      </c>
      <c r="AC84" s="202">
        <f t="shared" si="6"/>
        <v>1</v>
      </c>
      <c r="AD84" s="171">
        <f t="shared" si="7"/>
        <v>1</v>
      </c>
      <c r="AE84" s="204">
        <f t="shared" si="8"/>
        <v>0</v>
      </c>
      <c r="AF84" s="171">
        <f t="shared" si="9"/>
        <v>1</v>
      </c>
      <c r="AG84" s="204">
        <f t="shared" si="10"/>
        <v>0</v>
      </c>
      <c r="AH84" s="203" t="s">
        <v>135</v>
      </c>
      <c r="AI84" s="202" t="str">
        <f>IF(_epmOfflineCondition_,"0,00%",IF(P84="TOTAL", "", _xll.EPMSaveComment(AH84, $A$3, N84, O84, P84, $E$5, $C$6, M84, $C$9, "TIPRETOT","VF", $C$13, $C$14)))</f>
        <v>0,00%</v>
      </c>
    </row>
    <row r="85" spans="13:36" x14ac:dyDescent="0.3">
      <c r="M85" s="109" t="str">
        <f>IF(_epmOfflineCondition_,"O0730100", _xll.EPMOlapMemberO("[ORGANIC_D].[PARENTH1].[O0730100]","","O0730100","","000"))</f>
        <v>O0730100</v>
      </c>
      <c r="N85" s="109" t="str">
        <f>IF(_epmOfflineCondition_,"E073I76702", _xll.EPMOlapMemberO("[ECONOMIC_D].[PARENTH1].[E073I76702]","","E073I76702","","000"))</f>
        <v>E073I76702</v>
      </c>
      <c r="O85" s="109" t="str">
        <f>IF(_epmOfflineCondition_,"F073I92000", _xll.EPMOlapMemberO("[FUNCTIONAL_D].[PARENTH1].[F073I92000]","","F073I92000","","000"))</f>
        <v>F073I92000</v>
      </c>
      <c r="P85" s="205" t="str">
        <f>IF(_epmOfflineCondition_,"PRDUMMY", _xll.EPMOlapMemberO("[PROJECTS_D].[PARENTH1].[PRDUMMY]","","PRDUMMY","","000"))</f>
        <v>PRDUMMY</v>
      </c>
      <c r="Q85" s="154" t="str">
        <f t="shared" si="2"/>
        <v>0100</v>
      </c>
      <c r="R85" s="154" t="str">
        <f>IF(_epmOfflineCondition_,"Consorci del Besos",IF(P85="TOTAL", " ", _xll.EPMMemberProperty($A$3, M85, $T$4)))</f>
        <v>Consorci del Besos</v>
      </c>
      <c r="S85" s="201" t="str">
        <f t="shared" si="3"/>
        <v>76702</v>
      </c>
      <c r="T85" s="201" t="str">
        <f>IF(_epmOfflineCondition_,"DEL CONSORCI INTERUNIVERSITARI DEL BESÒS",IF(P85="TOTAL", " ", _xll.EPMMemberProperty($A$3, N85, $T$4)))</f>
        <v>DEL CONSORCI INTERUNIVERSITARI DEL BESÒS</v>
      </c>
      <c r="U85" s="201" t="str">
        <f t="shared" si="4"/>
        <v>92000</v>
      </c>
      <c r="V85" s="201" t="str">
        <f>IF(_epmOfflineCondition_,"Serveis de caràcter general",IF(P85="TOTAL", " ", _xll.EPMMemberProperty($A$3, O85, $T$4)))</f>
        <v>Serveis de caràcter general</v>
      </c>
      <c r="W85" s="201" t="str">
        <f t="shared" si="5"/>
        <v/>
      </c>
      <c r="X85" s="201" t="str">
        <f>IF(_epmOfflineCondition_,"",IF(P85="TOTAL", " ", IF(P85="", "Total", _xll.EPMMemberProperty($A$3, P85, $U$4))))</f>
        <v/>
      </c>
      <c r="Y85" s="132"/>
      <c r="Z85" s="202"/>
      <c r="AA85" s="132"/>
      <c r="AB85" s="85">
        <v>1</v>
      </c>
      <c r="AC85" s="202">
        <f t="shared" si="6"/>
        <v>1</v>
      </c>
      <c r="AD85" s="171">
        <f t="shared" si="7"/>
        <v>1</v>
      </c>
      <c r="AE85" s="204">
        <f t="shared" si="8"/>
        <v>0</v>
      </c>
      <c r="AF85" s="171">
        <f t="shared" si="9"/>
        <v>1</v>
      </c>
      <c r="AG85" s="204">
        <f t="shared" si="10"/>
        <v>0</v>
      </c>
      <c r="AH85" s="203" t="s">
        <v>135</v>
      </c>
      <c r="AI85" s="202" t="str">
        <f>IF(_epmOfflineCondition_,"0,00%",IF(P85="TOTAL", "", _xll.EPMSaveComment(AH85, $A$3, N85, O85, P85, $E$5, $C$6, M85, $C$9, "TIPRETOT","VF", $C$13, $C$14)))</f>
        <v>0,00%</v>
      </c>
    </row>
    <row r="86" spans="13:36" x14ac:dyDescent="0.3">
      <c r="M86" s="109" t="str">
        <f>IF(_epmOfflineCondition_,"O0730100", _xll.EPMOlapMemberO("[ORGANIC_D].[PARENTH1].[O0730100]","","O0730100","","000"))</f>
        <v>O0730100</v>
      </c>
      <c r="N86" s="109" t="str">
        <f>IF(_epmOfflineCondition_,"E073I77000", _xll.EPMOlapMemberO("[ECONOMIC_D].[PARENTH1].[E073I77000]","","E073I77000","","000"))</f>
        <v>E073I77000</v>
      </c>
      <c r="O86" s="109" t="str">
        <f>IF(_epmOfflineCondition_,"F073I92000", _xll.EPMOlapMemberO("[FUNCTIONAL_D].[PARENTH1].[F073I92000]","","F073I92000","","000"))</f>
        <v>F073I92000</v>
      </c>
      <c r="P86" s="205" t="str">
        <f>IF(_epmOfflineCondition_,"PRDUMMY", _xll.EPMOlapMemberO("[PROJECTS_D].[PARENTH1].[PRDUMMY]","","PRDUMMY","","000"))</f>
        <v>PRDUMMY</v>
      </c>
      <c r="Q86" s="154" t="str">
        <f t="shared" si="2"/>
        <v>0100</v>
      </c>
      <c r="R86" s="154" t="str">
        <f>IF(_epmOfflineCondition_,"Consorci del Besos",IF(P86="TOTAL", " ", _xll.EPMMemberProperty($A$3, M86, $T$4)))</f>
        <v>Consorci del Besos</v>
      </c>
      <c r="S86" s="201" t="str">
        <f t="shared" si="3"/>
        <v>77000</v>
      </c>
      <c r="T86" s="201" t="str">
        <f>IF(_epmOfflineCondition_,"DE LA JUNTA DE COMPENSACIÓ DEL C3",IF(P86="TOTAL", " ", _xll.EPMMemberProperty($A$3, N86, $T$4)))</f>
        <v>DE LA JUNTA DE COMPENSACIÓ DEL C3</v>
      </c>
      <c r="U86" s="201" t="str">
        <f t="shared" si="4"/>
        <v>92000</v>
      </c>
      <c r="V86" s="201" t="str">
        <f>IF(_epmOfflineCondition_,"Serveis de caràcter general",IF(P86="TOTAL", " ", _xll.EPMMemberProperty($A$3, O86, $T$4)))</f>
        <v>Serveis de caràcter general</v>
      </c>
      <c r="W86" s="201" t="str">
        <f t="shared" si="5"/>
        <v/>
      </c>
      <c r="X86" s="201" t="str">
        <f>IF(_epmOfflineCondition_,"",IF(P86="TOTAL", " ", IF(P86="", "Total", _xll.EPMMemberProperty($A$3, P86, $U$4))))</f>
        <v/>
      </c>
      <c r="Y86" s="132"/>
      <c r="Z86" s="202"/>
      <c r="AA86" s="132"/>
      <c r="AB86" s="85">
        <v>1</v>
      </c>
      <c r="AC86" s="202">
        <f t="shared" si="6"/>
        <v>1</v>
      </c>
      <c r="AD86" s="171">
        <f t="shared" si="7"/>
        <v>1</v>
      </c>
      <c r="AE86" s="204">
        <f t="shared" si="8"/>
        <v>0</v>
      </c>
      <c r="AF86" s="171">
        <f t="shared" si="9"/>
        <v>1</v>
      </c>
      <c r="AG86" s="204">
        <f t="shared" si="10"/>
        <v>0</v>
      </c>
      <c r="AH86" s="203" t="s">
        <v>135</v>
      </c>
      <c r="AI86" s="202" t="str">
        <f>IF(_epmOfflineCondition_,"0,00%",IF(P86="TOTAL", "", _xll.EPMSaveComment(AH86, $A$3, N86, O86, P86, $E$5, $C$6, M86, $C$9, "TIPRETOT","VF", $C$13, $C$14)))</f>
        <v>0,00%</v>
      </c>
    </row>
    <row r="87" spans="13:36" x14ac:dyDescent="0.3">
      <c r="M87" s="109" t="str">
        <f>IF(_epmOfflineCondition_,"O0730100", _xll.EPMOlapMemberO("[ORGANIC_D].[PARENTH1].[O0730100]","","O0730100","","000"))</f>
        <v>O0730100</v>
      </c>
      <c r="N87" s="109" t="str">
        <f>IF(_epmOfflineCondition_,"E073I78000", _xll.EPMOlapMemberO("[ECONOMIC_D].[PARENTH1].[E073I78000]","","E073I78000","","000"))</f>
        <v>E073I78000</v>
      </c>
      <c r="O87" s="109" t="str">
        <f>IF(_epmOfflineCondition_,"F073I92000", _xll.EPMOlapMemberO("[FUNCTIONAL_D].[PARENTH1].[F073I92000]","","F073I92000","","000"))</f>
        <v>F073I92000</v>
      </c>
      <c r="P87" s="205" t="str">
        <f>IF(_epmOfflineCondition_,"PRDUMMY", _xll.EPMOlapMemberO("[PROJECTS_D].[PARENTH1].[PRDUMMY]","","PRDUMMY","","000"))</f>
        <v>PRDUMMY</v>
      </c>
      <c r="Q87" s="154" t="str">
        <f t="shared" si="2"/>
        <v>0100</v>
      </c>
      <c r="R87" s="154" t="str">
        <f>IF(_epmOfflineCondition_,"Consorci del Besos",IF(P87="TOTAL", " ", _xll.EPMMemberProperty($A$3, M87, $T$4)))</f>
        <v>Consorci del Besos</v>
      </c>
      <c r="S87" s="201" t="str">
        <f t="shared" si="3"/>
        <v>78000</v>
      </c>
      <c r="T87" s="201" t="str">
        <f>IF(_epmOfflineCondition_,"DE L'INSTITUT DE RECERCA EN ENERGIA DE CATALUNYA",IF(P87="TOTAL", " ", _xll.EPMMemberProperty($A$3, N87, $T$4)))</f>
        <v>DE L'INSTITUT DE RECERCA EN ENERGIA DE CATALUNYA</v>
      </c>
      <c r="U87" s="201" t="str">
        <f t="shared" si="4"/>
        <v>92000</v>
      </c>
      <c r="V87" s="201" t="str">
        <f>IF(_epmOfflineCondition_,"Serveis de caràcter general",IF(P87="TOTAL", " ", _xll.EPMMemberProperty($A$3, O87, $T$4)))</f>
        <v>Serveis de caràcter general</v>
      </c>
      <c r="W87" s="201" t="str">
        <f t="shared" si="5"/>
        <v/>
      </c>
      <c r="X87" s="201" t="str">
        <f>IF(_epmOfflineCondition_,"",IF(P87="TOTAL", " ", IF(P87="", "Total", _xll.EPMMemberProperty($A$3, P87, $U$4))))</f>
        <v/>
      </c>
      <c r="Y87" s="132"/>
      <c r="Z87" s="202"/>
      <c r="AA87" s="132"/>
      <c r="AB87" s="85">
        <v>1</v>
      </c>
      <c r="AC87" s="202">
        <f t="shared" si="6"/>
        <v>1</v>
      </c>
      <c r="AD87" s="171">
        <f t="shared" si="7"/>
        <v>1</v>
      </c>
      <c r="AE87" s="204">
        <f t="shared" si="8"/>
        <v>0</v>
      </c>
      <c r="AF87" s="171">
        <f t="shared" si="9"/>
        <v>1</v>
      </c>
      <c r="AG87" s="204">
        <f t="shared" si="10"/>
        <v>0</v>
      </c>
      <c r="AH87" s="203" t="s">
        <v>135</v>
      </c>
      <c r="AI87" s="202" t="str">
        <f>IF(_epmOfflineCondition_,"0,00%",IF(P87="TOTAL", "", _xll.EPMSaveComment(AH87, $A$3, N87, O87, P87, $E$5, $C$6, M87, $C$9, "TIPRETOT","VF", $C$13, $C$14)))</f>
        <v>0,00%</v>
      </c>
    </row>
    <row r="88" spans="13:36" x14ac:dyDescent="0.3">
      <c r="M88" s="109" t="str">
        <f>IF(_epmOfflineCondition_,"O0730100", _xll.EPMOlapMemberO("[ORGANIC_D].[PARENTH1].[O0730100]","","O0730100","","000"))</f>
        <v>O0730100</v>
      </c>
      <c r="N88" s="109" t="str">
        <f>IF(_epmOfflineCondition_,"E073I80000", _xll.EPMOlapMemberO("[ECONOMIC_D].[PARENTH1].[E073I80000]","","E073I80000","","000"))</f>
        <v>E073I80000</v>
      </c>
      <c r="O88" s="109" t="str">
        <f>IF(_epmOfflineCondition_,"F073I92000", _xll.EPMOlapMemberO("[FUNCTIONAL_D].[PARENTH1].[F073I92000]","","F073I92000","","000"))</f>
        <v>F073I92000</v>
      </c>
      <c r="P88" s="205" t="str">
        <f>IF(_epmOfflineCondition_,"PRDUMMY", _xll.EPMOlapMemberO("[PROJECTS_D].[PARENTH1].[PRDUMMY]","","PRDUMMY","","000"))</f>
        <v>PRDUMMY</v>
      </c>
      <c r="Q88" s="154" t="str">
        <f t="shared" si="2"/>
        <v>0100</v>
      </c>
      <c r="R88" s="154" t="str">
        <f>IF(_epmOfflineCondition_,"Consorci del Besos",IF(P88="TOTAL", " ", _xll.EPMMemberProperty($A$3, M88, $T$4)))</f>
        <v>Consorci del Besos</v>
      </c>
      <c r="S88" s="201" t="str">
        <f t="shared" si="3"/>
        <v>80000</v>
      </c>
      <c r="T88" s="201" t="str">
        <f>IF(_epmOfflineCondition_,"ALIENACIÓ DE DEUTE PÚBLIC DE L'ESTAT A C/T",IF(P88="TOTAL", " ", _xll.EPMMemberProperty($A$3, N88, $T$4)))</f>
        <v>ALIENACIÓ DE DEUTE PÚBLIC DE L'ESTAT A C/T</v>
      </c>
      <c r="U88" s="201" t="str">
        <f t="shared" si="4"/>
        <v>92000</v>
      </c>
      <c r="V88" s="201" t="str">
        <f>IF(_epmOfflineCondition_,"Serveis de caràcter general",IF(P88="TOTAL", " ", _xll.EPMMemberProperty($A$3, O88, $T$4)))</f>
        <v>Serveis de caràcter general</v>
      </c>
      <c r="W88" s="201" t="str">
        <f t="shared" si="5"/>
        <v/>
      </c>
      <c r="X88" s="201" t="str">
        <f>IF(_epmOfflineCondition_,"",IF(P88="TOTAL", " ", IF(P88="", "Total", _xll.EPMMemberProperty($A$3, P88, $U$4))))</f>
        <v/>
      </c>
      <c r="Y88" s="132"/>
      <c r="Z88" s="202"/>
      <c r="AA88" s="132"/>
      <c r="AB88" s="85">
        <v>1</v>
      </c>
      <c r="AC88" s="202">
        <f t="shared" si="6"/>
        <v>1</v>
      </c>
      <c r="AD88" s="171">
        <f t="shared" si="7"/>
        <v>1</v>
      </c>
      <c r="AE88" s="204">
        <f t="shared" si="8"/>
        <v>0</v>
      </c>
      <c r="AF88" s="171">
        <f t="shared" si="9"/>
        <v>1</v>
      </c>
      <c r="AG88" s="204">
        <f t="shared" si="10"/>
        <v>0</v>
      </c>
      <c r="AH88" s="203" t="s">
        <v>135</v>
      </c>
      <c r="AI88" s="202" t="str">
        <f>IF(_epmOfflineCondition_,"0,00%",IF(P88="TOTAL", "", _xll.EPMSaveComment(AH88, $A$3, N88, O88, P88, $E$5, $C$6, M88, $C$9, "TIPRETOT","VF", $C$13, $C$14)))</f>
        <v>0,00%</v>
      </c>
    </row>
    <row r="89" spans="13:36" x14ac:dyDescent="0.3">
      <c r="M89" s="109" t="str">
        <f>IF(_epmOfflineCondition_,"O0730100", _xll.EPMOlapMemberO("[ORGANIC_D].[PARENTH1].[O0730100]","","O0730100","","000"))</f>
        <v>O0730100</v>
      </c>
      <c r="N89" s="109" t="str">
        <f>IF(_epmOfflineCondition_,"E073I83001", _xll.EPMOlapMemberO("[ECONOMIC_D].[PARENTH1].[E073I83001]","","E073I83001","","000"))</f>
        <v>E073I83001</v>
      </c>
      <c r="O89" s="109" t="str">
        <f>IF(_epmOfflineCondition_,"F073I92000", _xll.EPMOlapMemberO("[FUNCTIONAL_D].[PARENTH1].[F073I92000]","","F073I92000","","000"))</f>
        <v>F073I92000</v>
      </c>
      <c r="P89" s="205" t="str">
        <f>IF(_epmOfflineCondition_,"PRDUMMY", _xll.EPMOlapMemberO("[PROJECTS_D].[PARENTH1].[PRDUMMY]","","PRDUMMY","","000"))</f>
        <v>PRDUMMY</v>
      </c>
      <c r="Q89" s="154" t="str">
        <f t="shared" si="2"/>
        <v>0100</v>
      </c>
      <c r="R89" s="154" t="str">
        <f>IF(_epmOfflineCondition_,"Consorci del Besos",IF(P89="TOTAL", " ", _xll.EPMMemberProperty($A$3, M89, $T$4)))</f>
        <v>Consorci del Besos</v>
      </c>
      <c r="S89" s="201" t="str">
        <f t="shared" si="3"/>
        <v>83001</v>
      </c>
      <c r="T89" s="201" t="str">
        <f>IF(_epmOfflineCondition_,"REINTEGRAMENT PRÉSTECS A C/T PERSONAL CONSORCI",IF(P89="TOTAL", " ", _xll.EPMMemberProperty($A$3, N89, $T$4)))</f>
        <v>REINTEGRAMENT PRÉSTECS A C/T PERSONAL CONSORCI</v>
      </c>
      <c r="U89" s="201" t="str">
        <f t="shared" si="4"/>
        <v>92000</v>
      </c>
      <c r="V89" s="201" t="str">
        <f>IF(_epmOfflineCondition_,"Serveis de caràcter general",IF(P89="TOTAL", " ", _xll.EPMMemberProperty($A$3, O89, $T$4)))</f>
        <v>Serveis de caràcter general</v>
      </c>
      <c r="W89" s="201" t="str">
        <f t="shared" si="5"/>
        <v/>
      </c>
      <c r="X89" s="201" t="str">
        <f>IF(_epmOfflineCondition_,"",IF(P89="TOTAL", " ", IF(P89="", "Total", _xll.EPMMemberProperty($A$3, P89, $U$4))))</f>
        <v/>
      </c>
      <c r="Y89" s="132">
        <v>14650</v>
      </c>
      <c r="Z89" s="202"/>
      <c r="AA89" s="132"/>
      <c r="AB89" s="85">
        <v>10000</v>
      </c>
      <c r="AC89" s="202">
        <f t="shared" si="6"/>
        <v>10000</v>
      </c>
      <c r="AD89" s="171">
        <f t="shared" si="7"/>
        <v>10000</v>
      </c>
      <c r="AE89" s="204">
        <f t="shared" si="8"/>
        <v>0</v>
      </c>
      <c r="AF89" s="171">
        <f t="shared" si="9"/>
        <v>-4650</v>
      </c>
      <c r="AG89" s="204">
        <f t="shared" si="10"/>
        <v>-0.3174061433447099</v>
      </c>
      <c r="AH89" s="203" t="s">
        <v>148</v>
      </c>
      <c r="AI89" s="202" t="str">
        <f>IF(_epmOfflineCondition_,"-31,74%",IF(P89="TOTAL", "", _xll.EPMSaveComment(AH89, $A$3, N89, O89, P89, $E$5, $C$6, M89, $C$9, "TIPRETOT","VF", $C$13, $C$14)))</f>
        <v>-31,74%</v>
      </c>
    </row>
    <row r="90" spans="13:36" x14ac:dyDescent="0.3">
      <c r="M90" s="109" t="str">
        <f>IF(_epmOfflineCondition_,"O0730100", _xll.EPMOlapMemberO("[ORGANIC_D].[PARENTH1].[O0730100]","","O0730100","","000"))</f>
        <v>O0730100</v>
      </c>
      <c r="N90" s="109" t="str">
        <f>IF(_epmOfflineCondition_,"E073I91200", _xll.EPMOlapMemberO("[ECONOMIC_D].[PARENTH1].[E073I91200]","","E073I91200","","000"))</f>
        <v>E073I91200</v>
      </c>
      <c r="O90" s="109" t="str">
        <f>IF(_epmOfflineCondition_,"F073I92000", _xll.EPMOlapMemberO("[FUNCTIONAL_D].[PARENTH1].[F073I92000]","","F073I92000","","000"))</f>
        <v>F073I92000</v>
      </c>
      <c r="P90" s="205" t="str">
        <f>IF(_epmOfflineCondition_,"PRDUMMY", _xll.EPMOlapMemberO("[PROJECTS_D].[PARENTH1].[PRDUMMY]","","PRDUMMY","","000"))</f>
        <v>PRDUMMY</v>
      </c>
      <c r="Q90" s="154" t="str">
        <f t="shared" si="2"/>
        <v>0100</v>
      </c>
      <c r="R90" s="154" t="str">
        <f>IF(_epmOfflineCondition_,"Consorci del Besos",IF(P90="TOTAL", " ", _xll.EPMMemberProperty($A$3, M90, $T$4)))</f>
        <v>Consorci del Besos</v>
      </c>
      <c r="S90" s="201" t="str">
        <f t="shared" si="3"/>
        <v>91200</v>
      </c>
      <c r="T90" s="201" t="str">
        <f>IF(_epmOfflineCondition_,"PRÉSTECS A C/T D'ENS FORA SP",IF(P90="TOTAL", " ", _xll.EPMMemberProperty($A$3, N90, $T$4)))</f>
        <v>PRÉSTECS A C/T D'ENS FORA SP</v>
      </c>
      <c r="U90" s="201" t="str">
        <f t="shared" si="4"/>
        <v>92000</v>
      </c>
      <c r="V90" s="201" t="str">
        <f>IF(_epmOfflineCondition_,"Serveis de caràcter general",IF(P90="TOTAL", " ", _xll.EPMMemberProperty($A$3, O90, $T$4)))</f>
        <v>Serveis de caràcter general</v>
      </c>
      <c r="W90" s="201" t="str">
        <f t="shared" si="5"/>
        <v/>
      </c>
      <c r="X90" s="201" t="str">
        <f>IF(_epmOfflineCondition_,"",IF(P90="TOTAL", " ", IF(P90="", "Total", _xll.EPMMemberProperty($A$3, P90, $U$4))))</f>
        <v/>
      </c>
      <c r="Y90" s="132"/>
      <c r="Z90" s="202"/>
      <c r="AA90" s="132"/>
      <c r="AB90" s="85">
        <v>1</v>
      </c>
      <c r="AC90" s="202">
        <f t="shared" si="6"/>
        <v>1</v>
      </c>
      <c r="AD90" s="171">
        <f t="shared" si="7"/>
        <v>1</v>
      </c>
      <c r="AE90" s="204">
        <f t="shared" si="8"/>
        <v>0</v>
      </c>
      <c r="AF90" s="171">
        <f t="shared" si="9"/>
        <v>1</v>
      </c>
      <c r="AG90" s="204">
        <f t="shared" si="10"/>
        <v>0</v>
      </c>
      <c r="AH90" s="203" t="s">
        <v>135</v>
      </c>
      <c r="AI90" s="202" t="str">
        <f>IF(_epmOfflineCondition_,"0,00%",IF(P90="TOTAL", "", _xll.EPMSaveComment(AH90, $A$3, N90, O90, P90, $E$5, $C$6, M90, $C$9, "TIPRETOT","VF", $C$13, $C$14)))</f>
        <v>0,00%</v>
      </c>
    </row>
    <row r="91" spans="13:36" x14ac:dyDescent="0.3">
      <c r="M91" s="109" t="str">
        <f>IF(_epmOfflineCondition_,"O0730100", _xll.EPMOlapMemberO("[ORGANIC_D].[PARENTH1].[O0730100]","","O0730100","","000"))</f>
        <v>O0730100</v>
      </c>
      <c r="N91" s="109" t="str">
        <f>IF(_epmOfflineCondition_,"E073I91200", _xll.EPMOlapMemberO("[ECONOMIC_D].[PARENTH1].[E073I91200]","","E073I91200","","000"))</f>
        <v>E073I91200</v>
      </c>
      <c r="O91" s="109" t="str">
        <f>IF(_epmOfflineCondition_,"F073I92000", _xll.EPMOlapMemberO("[FUNCTIONAL_D].[PARENTH1].[F073I92000]","","F073I92000","","000"))</f>
        <v>F073I92000</v>
      </c>
      <c r="P91" s="109" t="str">
        <f>IF(_epmOfflineCondition_,"TOTAL", _xll.FPMXLClient.TechnicalCategory.EPMLocalMember("TOTAL","012","000"))</f>
        <v>TOTAL</v>
      </c>
      <c r="Q91" s="192" t="str">
        <f t="shared" si="2"/>
        <v>TOTAL</v>
      </c>
      <c r="R91" s="192" t="str">
        <f>IF(_epmOfflineCondition_," ",IF(P91="TOTAL", " ", _xll.EPMMemberProperty($A$3, M91, $T$4)))</f>
        <v xml:space="preserve"> </v>
      </c>
      <c r="S91" s="192" t="str">
        <f t="shared" si="3"/>
        <v xml:space="preserve"> </v>
      </c>
      <c r="T91" s="192" t="str">
        <f>IF(_epmOfflineCondition_," ",IF(P91="TOTAL", " ", _xll.EPMMemberProperty($A$3, N91, $T$4)))</f>
        <v xml:space="preserve"> </v>
      </c>
      <c r="U91" s="192" t="str">
        <f t="shared" si="4"/>
        <v xml:space="preserve"> </v>
      </c>
      <c r="V91" s="192" t="str">
        <f>IF(_epmOfflineCondition_," ",IF(P91="TOTAL", " ", _xll.EPMMemberProperty($A$3, O91, $T$4)))</f>
        <v xml:space="preserve"> </v>
      </c>
      <c r="W91" s="192" t="str">
        <f t="shared" si="5"/>
        <v xml:space="preserve"> </v>
      </c>
      <c r="X91" s="192" t="str">
        <f>IF(_epmOfflineCondition_," ",IF(P91="TOTAL", " ", IF(P91="", "Total", _xll.EPMMemberProperty($A$3, P91, $U$4))))</f>
        <v xml:space="preserve"> </v>
      </c>
      <c r="Y91" s="192">
        <f t="shared" ref="Y91:AC91" si="11">SUM(Y51:Y90)</f>
        <v>3815000.13</v>
      </c>
      <c r="Z91" s="192">
        <f t="shared" si="11"/>
        <v>0</v>
      </c>
      <c r="AA91" s="192">
        <f t="shared" si="11"/>
        <v>0</v>
      </c>
      <c r="AB91" s="192">
        <f t="shared" si="11"/>
        <v>2277132</v>
      </c>
      <c r="AC91" s="192">
        <f t="shared" si="11"/>
        <v>2277132</v>
      </c>
      <c r="AD91" s="192">
        <f t="shared" si="7"/>
        <v>2277132</v>
      </c>
      <c r="AE91" s="192">
        <f t="shared" si="8"/>
        <v>0</v>
      </c>
      <c r="AF91" s="192">
        <f t="shared" si="9"/>
        <v>-1537868.13</v>
      </c>
      <c r="AG91" s="192">
        <f t="shared" si="10"/>
        <v>-0.40311089845231535</v>
      </c>
      <c r="AH91" s="192"/>
      <c r="AI91" s="192" t="str">
        <f>IF(_epmOfflineCondition_,"",IF(P91="TOTAL", "", _xll.EPMSaveComment(AH91, $A$3, N91, O91, P91, $E$5, $C$6, M91, $C$9, "TIPRETOT","VF", $C$13, $C$14)))</f>
        <v/>
      </c>
    </row>
    <row r="92" spans="13:36" x14ac:dyDescent="0.3">
      <c r="AA92" s="165"/>
      <c r="AI92" s="96"/>
    </row>
    <row r="93" spans="13:36" x14ac:dyDescent="0.3">
      <c r="AA93" s="165"/>
      <c r="AI93" s="96"/>
    </row>
    <row r="94" spans="13:36" x14ac:dyDescent="0.3">
      <c r="AA94" s="165"/>
      <c r="AI94" s="96"/>
    </row>
    <row r="95" spans="13:36" x14ac:dyDescent="0.3">
      <c r="AA95" s="165"/>
      <c r="AI95" s="96"/>
    </row>
    <row r="96" spans="13:36" x14ac:dyDescent="0.3">
      <c r="AA96" s="165"/>
      <c r="AI96" s="96"/>
    </row>
    <row r="97" spans="27:35" x14ac:dyDescent="0.3">
      <c r="AA97" s="165"/>
      <c r="AI97" s="96"/>
    </row>
    <row r="98" spans="27:35" x14ac:dyDescent="0.3">
      <c r="AA98" s="165"/>
      <c r="AI98" s="96"/>
    </row>
    <row r="99" spans="27:35" x14ac:dyDescent="0.3">
      <c r="AA99" s="165"/>
      <c r="AI99" s="96"/>
    </row>
    <row r="100" spans="27:35" x14ac:dyDescent="0.3">
      <c r="AA100" s="165"/>
      <c r="AI100" s="96"/>
    </row>
    <row r="101" spans="27:35" x14ac:dyDescent="0.3">
      <c r="AA101" s="165"/>
      <c r="AI101" s="96"/>
    </row>
    <row r="102" spans="27:35" x14ac:dyDescent="0.3">
      <c r="AA102" s="165"/>
      <c r="AI102" s="96"/>
    </row>
    <row r="103" spans="27:35" x14ac:dyDescent="0.3">
      <c r="AA103" s="165"/>
      <c r="AI103" s="96"/>
    </row>
    <row r="104" spans="27:35" x14ac:dyDescent="0.3">
      <c r="AA104" s="165"/>
      <c r="AI104" s="96"/>
    </row>
    <row r="105" spans="27:35" x14ac:dyDescent="0.3">
      <c r="AA105" s="165"/>
      <c r="AI105" s="96"/>
    </row>
    <row r="106" spans="27:35" x14ac:dyDescent="0.3">
      <c r="AA106" s="165"/>
      <c r="AI106" s="96"/>
    </row>
    <row r="107" spans="27:35" x14ac:dyDescent="0.3">
      <c r="AA107" s="165"/>
      <c r="AI107" s="96"/>
    </row>
    <row r="108" spans="27:35" x14ac:dyDescent="0.3">
      <c r="AA108" s="165"/>
      <c r="AI108" s="96"/>
    </row>
    <row r="109" spans="27:35" x14ac:dyDescent="0.3">
      <c r="AA109" s="165"/>
      <c r="AI109" s="96"/>
    </row>
    <row r="110" spans="27:35" x14ac:dyDescent="0.3">
      <c r="AA110" s="165"/>
      <c r="AI110" s="96"/>
    </row>
    <row r="111" spans="27:35" x14ac:dyDescent="0.3">
      <c r="AA111" s="165"/>
      <c r="AI111" s="96"/>
    </row>
    <row r="112" spans="27:35" x14ac:dyDescent="0.3">
      <c r="AA112" s="165"/>
      <c r="AI112" s="96"/>
    </row>
    <row r="113" spans="27:35" x14ac:dyDescent="0.3">
      <c r="AA113" s="165"/>
      <c r="AI113" s="96"/>
    </row>
    <row r="114" spans="27:35" x14ac:dyDescent="0.3">
      <c r="AA114" s="165"/>
    </row>
    <row r="115" spans="27:35" x14ac:dyDescent="0.3">
      <c r="AA115" s="165"/>
    </row>
    <row r="116" spans="27:35" x14ac:dyDescent="0.3">
      <c r="AA116" s="165"/>
    </row>
    <row r="117" spans="27:35" x14ac:dyDescent="0.3">
      <c r="AA117" s="165"/>
    </row>
    <row r="118" spans="27:35" x14ac:dyDescent="0.3">
      <c r="AA118" s="165"/>
    </row>
    <row r="119" spans="27:35" x14ac:dyDescent="0.3">
      <c r="AA119" s="165"/>
    </row>
    <row r="120" spans="27:35" x14ac:dyDescent="0.3">
      <c r="AA120" s="165"/>
    </row>
    <row r="121" spans="27:35" x14ac:dyDescent="0.3">
      <c r="AA121" s="165"/>
    </row>
    <row r="122" spans="27:35" x14ac:dyDescent="0.3">
      <c r="AA122" s="165"/>
    </row>
    <row r="123" spans="27:35" x14ac:dyDescent="0.3">
      <c r="AA123" s="165"/>
    </row>
    <row r="124" spans="27:35" x14ac:dyDescent="0.3">
      <c r="AA124" s="165"/>
    </row>
    <row r="125" spans="27:35" x14ac:dyDescent="0.3">
      <c r="AA125" s="165"/>
    </row>
    <row r="126" spans="27:35" x14ac:dyDescent="0.3">
      <c r="AA126" s="165"/>
    </row>
    <row r="127" spans="27:35" x14ac:dyDescent="0.3">
      <c r="AA127" s="165"/>
    </row>
    <row r="128" spans="27:35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  <row r="3161" spans="27:27" x14ac:dyDescent="0.3">
      <c r="AA3161" s="165"/>
    </row>
    <row r="3162" spans="27:27" x14ac:dyDescent="0.3">
      <c r="AA3162" s="165"/>
    </row>
    <row r="3163" spans="27:27" x14ac:dyDescent="0.3">
      <c r="AA3163" s="165"/>
    </row>
    <row r="3164" spans="27:27" x14ac:dyDescent="0.3">
      <c r="AA3164" s="165"/>
    </row>
    <row r="3165" spans="27:27" x14ac:dyDescent="0.3">
      <c r="AA3165" s="165"/>
    </row>
    <row r="3166" spans="27:27" x14ac:dyDescent="0.3">
      <c r="AA3166" s="165"/>
    </row>
    <row r="3167" spans="27:27" x14ac:dyDescent="0.3">
      <c r="AA3167" s="165"/>
    </row>
    <row r="3168" spans="27:27" x14ac:dyDescent="0.3">
      <c r="AA3168" s="165"/>
    </row>
    <row r="3169" spans="27:27" x14ac:dyDescent="0.3">
      <c r="AA3169" s="165"/>
    </row>
    <row r="3170" spans="27:27" x14ac:dyDescent="0.3">
      <c r="AA3170" s="165"/>
    </row>
    <row r="3171" spans="27:27" x14ac:dyDescent="0.3">
      <c r="AA3171" s="165"/>
    </row>
    <row r="3172" spans="27:27" x14ac:dyDescent="0.3">
      <c r="AA3172" s="165"/>
    </row>
    <row r="3173" spans="27:27" x14ac:dyDescent="0.3">
      <c r="AA3173" s="165"/>
    </row>
    <row r="3174" spans="27:27" x14ac:dyDescent="0.3">
      <c r="AA3174" s="165"/>
    </row>
    <row r="3175" spans="27:27" x14ac:dyDescent="0.3">
      <c r="AA3175" s="165"/>
    </row>
    <row r="3176" spans="27:27" x14ac:dyDescent="0.3">
      <c r="AA3176" s="165"/>
    </row>
    <row r="3177" spans="27:27" x14ac:dyDescent="0.3">
      <c r="AA3177" s="165"/>
    </row>
    <row r="3178" spans="27:27" x14ac:dyDescent="0.3">
      <c r="AA3178" s="165"/>
    </row>
    <row r="3179" spans="27:27" x14ac:dyDescent="0.3">
      <c r="AA3179" s="165"/>
    </row>
    <row r="3180" spans="27:27" x14ac:dyDescent="0.3">
      <c r="AA3180" s="165"/>
    </row>
    <row r="3181" spans="27:27" x14ac:dyDescent="0.3">
      <c r="AA3181" s="165"/>
    </row>
    <row r="3182" spans="27:27" x14ac:dyDescent="0.3">
      <c r="AA3182" s="165"/>
    </row>
    <row r="3183" spans="27:27" x14ac:dyDescent="0.3">
      <c r="AA3183" s="165"/>
    </row>
    <row r="3184" spans="27:27" x14ac:dyDescent="0.3">
      <c r="AA3184" s="165"/>
    </row>
    <row r="3185" spans="27:27" x14ac:dyDescent="0.3">
      <c r="AA3185" s="165"/>
    </row>
    <row r="3186" spans="27:27" x14ac:dyDescent="0.3">
      <c r="AA3186" s="165"/>
    </row>
    <row r="3187" spans="27:27" x14ac:dyDescent="0.3">
      <c r="AA3187" s="165"/>
    </row>
    <row r="3188" spans="27:27" x14ac:dyDescent="0.3">
      <c r="AA3188" s="165"/>
    </row>
    <row r="3189" spans="27:27" x14ac:dyDescent="0.3">
      <c r="AA3189" s="165"/>
    </row>
    <row r="3190" spans="27:27" x14ac:dyDescent="0.3">
      <c r="AA3190" s="165"/>
    </row>
    <row r="3191" spans="27:27" x14ac:dyDescent="0.3">
      <c r="AA3191" s="165"/>
    </row>
    <row r="3192" spans="27:27" x14ac:dyDescent="0.3">
      <c r="AA3192" s="165"/>
    </row>
    <row r="3193" spans="27:27" x14ac:dyDescent="0.3">
      <c r="AA3193" s="165"/>
    </row>
    <row r="3194" spans="27:27" x14ac:dyDescent="0.3">
      <c r="AA3194" s="165"/>
    </row>
    <row r="3195" spans="27:27" x14ac:dyDescent="0.3">
      <c r="AA3195" s="165"/>
    </row>
    <row r="3196" spans="27:27" x14ac:dyDescent="0.3">
      <c r="AA3196" s="165"/>
    </row>
    <row r="3197" spans="27:27" x14ac:dyDescent="0.3">
      <c r="AA3197" s="165"/>
    </row>
    <row r="3198" spans="27:27" x14ac:dyDescent="0.3">
      <c r="AA3198" s="165"/>
    </row>
  </sheetData>
  <sheetProtection password="BC6F" sheet="1" objects="1" scenarios="1"/>
  <mergeCells count="12">
    <mergeCell ref="AI45:AI46"/>
    <mergeCell ref="B19:C19"/>
    <mergeCell ref="D19:E19"/>
    <mergeCell ref="A1:I1"/>
    <mergeCell ref="S45:T46"/>
    <mergeCell ref="U45:V46"/>
    <mergeCell ref="W45:X46"/>
    <mergeCell ref="Z39:AA39"/>
    <mergeCell ref="Z40:AA40"/>
    <mergeCell ref="V42:X42"/>
    <mergeCell ref="AB45:AG45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5" r:id="rId4" name="ConnectionDescriptorsInfotb1"/>
      </mc:Fallback>
    </mc:AlternateContent>
    <mc:AlternateContent xmlns:mc="http://schemas.openxmlformats.org/markup-compatibility/2006">
      <mc:Choice Requires="x14">
        <control shapeId="102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6" r:id="rId6" name="MultipleReportManagerInfotb1"/>
      </mc:Fallback>
    </mc:AlternateContent>
    <mc:AlternateContent xmlns:mc="http://schemas.openxmlformats.org/markup-compatibility/2006">
      <mc:Choice Requires="x14">
        <control shapeId="102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7" r:id="rId8" name="ConnectionDescriptorsInfo000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9" r:id="rId12" name="ReportSubmitManagerControltb1"/>
      </mc:Fallback>
    </mc:AlternateContent>
    <mc:AlternateContent xmlns:mc="http://schemas.openxmlformats.org/markup-compatibility/2006">
      <mc:Choice Requires="x14">
        <control shapeId="1030" r:id="rId14" name="ReportSubmitControl_1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30" r:id="rId14" name="ReportSubmitControl_1tb1"/>
      </mc:Fallback>
    </mc:AlternateContent>
    <mc:AlternateContent xmlns:mc="http://schemas.openxmlformats.org/markup-compatibility/2006">
      <mc:Choice Requires="x14">
        <control shapeId="1031" r:id="rId16" name="FPMExcelClientSheetOptions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31" r:id="rId16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U3248"/>
  <sheetViews>
    <sheetView showGridLines="0" showRowColHeaders="0" topLeftCell="O38" zoomScale="90" zoomScaleNormal="90" workbookViewId="0">
      <selection activeCell="V62" sqref="V62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9.5546875" hidden="1" customWidth="1" outlineLevel="1"/>
    <col min="5" max="6" width="12.44140625" hidden="1" customWidth="1" outlineLevel="1"/>
    <col min="7" max="8" width="12.109375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3" customWidth="1" collapsed="1"/>
    <col min="16" max="16" width="13.109375" hidden="1" customWidth="1"/>
    <col min="17" max="17" width="13" hidden="1" customWidth="1"/>
    <col min="18" max="18" width="12.6640625" hidden="1" customWidth="1"/>
    <col min="19" max="19" width="15" bestFit="1" customWidth="1"/>
    <col min="20" max="20" width="29.5546875" bestFit="1" customWidth="1"/>
    <col min="21" max="21" width="18.33203125" bestFit="1" customWidth="1"/>
    <col min="22" max="22" width="12.44140625" bestFit="1" customWidth="1"/>
    <col min="23" max="23" width="18.33203125" bestFit="1" customWidth="1"/>
    <col min="24" max="24" width="19.5546875" bestFit="1" customWidth="1"/>
    <col min="25" max="25" width="17" bestFit="1" customWidth="1"/>
    <col min="26" max="26" width="12.5546875" customWidth="1"/>
    <col min="27" max="27" width="27.5546875" customWidth="1"/>
    <col min="28" max="28" width="19" bestFit="1" customWidth="1"/>
    <col min="29" max="29" width="19.5546875" bestFit="1" customWidth="1"/>
    <col min="30" max="30" width="14.33203125" bestFit="1" customWidth="1"/>
    <col min="31" max="31" width="19.5546875" style="96" bestFit="1" customWidth="1"/>
    <col min="32" max="32" width="14.33203125" bestFit="1" customWidth="1"/>
    <col min="33" max="33" width="15.88671875" style="96" customWidth="1"/>
    <col min="34" max="34" width="64.44140625" customWidth="1"/>
    <col min="35" max="35" width="13.554687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7"/>
      <c r="S1" s="2" t="s">
        <v>23</v>
      </c>
      <c r="T1" s="27" t="str">
        <f>IF(_epmOfflineCondition_,"2017",_xll.EPMMemberProperty($A$3,C9,"YEAR"))</f>
        <v>2017</v>
      </c>
      <c r="U1" s="193" t="str">
        <f>CONCATENATE($C$9-2,".12")</f>
        <v>2015.12</v>
      </c>
      <c r="V1" s="194" t="str">
        <f>$C$9</f>
        <v>2017</v>
      </c>
      <c r="W1" s="193" t="str">
        <f>CONCATENATE($C$9-1,".06")</f>
        <v>2016.06</v>
      </c>
      <c r="X1" s="193" t="str">
        <f>$C$9</f>
        <v>2017</v>
      </c>
      <c r="Y1" s="195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196" t="s">
        <v>118</v>
      </c>
      <c r="V2" s="196" t="s">
        <v>21</v>
      </c>
      <c r="W2" s="196" t="s">
        <v>118</v>
      </c>
      <c r="X2" s="196" t="s">
        <v>92</v>
      </c>
      <c r="Y2" s="196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197" t="s">
        <v>119</v>
      </c>
      <c r="V3" s="197" t="s">
        <v>26</v>
      </c>
      <c r="W3" s="197" t="s">
        <v>119</v>
      </c>
      <c r="X3" s="197" t="str">
        <f>$C$12</f>
        <v>VF</v>
      </c>
      <c r="Y3" s="198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E073I</v>
      </c>
      <c r="D4" s="21"/>
      <c r="E4" s="133" t="str">
        <f>IF(_epmOfflineCondition_,"E073I",_xll.EPMContextMember($A$3,B4))</f>
        <v>E073I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073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IF(_epmOfflineCondition_,"E073", _xll.EPMOlapMemberO(E6,"[ENTITAT].[PARENTH1].[E073]","E073","","000"))</f>
        <v>E073</v>
      </c>
      <c r="D6" s="8"/>
      <c r="E6" s="135" t="str">
        <f>IF(_epmOfflineCondition_,"E073","E"&amp;_xll.EPMMemberProperty($A$3,C8,"entitat"))</f>
        <v>E073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F073I</v>
      </c>
      <c r="D7" s="8"/>
      <c r="E7" s="72" t="str">
        <f>IF(_epmOfflineCondition_,"F073I",_xll.EPMContextMember($A$3,B7))</f>
        <v>F073I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073</v>
      </c>
    </row>
    <row r="8" spans="1:33" hidden="1" outlineLevel="1" x14ac:dyDescent="0.3">
      <c r="A8" s="6"/>
      <c r="B8" s="7" t="s">
        <v>19</v>
      </c>
      <c r="C8" s="170" t="str">
        <f>$E$8</f>
        <v>O073</v>
      </c>
      <c r="D8" s="8"/>
      <c r="E8" s="157" t="str">
        <f>$S$40</f>
        <v>O073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IF(_epmOfflineCondition_,"073",_xll.EPMMemberProperty($A$3,C8,"entitat"))</f>
        <v>073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U40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>
      <c r="C15" s="114" t="str">
        <f>IF(_epmOfflineCondition_,"F073I", _xll.EPMOlapMemberO("[FUNCTIONAL_D].[PARENTH1].[F073I]","","F073I","","000"))</f>
        <v>F073I</v>
      </c>
    </row>
    <row r="16" spans="1:33" hidden="1" outlineLevel="1" x14ac:dyDescent="0.3">
      <c r="C16" s="114" t="str">
        <f>IF(_epmOfflineCondition_,"PRDUMMY", _xll.EPMOlapMemberO("[PROJECTS_D].[PARENTH1].[PRDUMMY]","","PRDUMMY","","000"))</f>
        <v>PRDUMMY</v>
      </c>
    </row>
    <row r="17" spans="1:30" hidden="1" outlineLevel="1" x14ac:dyDescent="0.3"/>
    <row r="18" spans="1:30" hidden="1" outlineLevel="1" x14ac:dyDescent="0.3"/>
    <row r="19" spans="1:30" hidden="1" outlineLevel="1" x14ac:dyDescent="0.3">
      <c r="A19" s="140"/>
      <c r="B19" s="243" t="s">
        <v>103</v>
      </c>
      <c r="C19" s="244"/>
      <c r="D19" s="243"/>
      <c r="E19" s="244"/>
    </row>
    <row r="20" spans="1:30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0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0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$Y$49</v>
      </c>
      <c r="D22" s="147">
        <f>SUMPRODUCT(MAX((ROW(Q:Q )*(Q:Q &lt;&gt;""))))</f>
        <v>49</v>
      </c>
      <c r="E22" s="13">
        <f>SUMPRODUCT(MAX((COLUMN(48:48 )*(48:48 &lt;&gt;""))))</f>
        <v>25</v>
      </c>
    </row>
    <row r="23" spans="1:30" ht="15" hidden="1" outlineLevel="1" thickBot="1" x14ac:dyDescent="0.35">
      <c r="A23" s="148"/>
      <c r="B23" s="29" t="s">
        <v>107</v>
      </c>
      <c r="C23" s="149" t="s">
        <v>108</v>
      </c>
    </row>
    <row r="24" spans="1:30" hidden="1" outlineLevel="1" x14ac:dyDescent="0.3">
      <c r="A24" s="150" t="s">
        <v>87</v>
      </c>
      <c r="B24" s="151" t="e">
        <f>ADDRESS(50,MATCH(A24,$50:$50,0))</f>
        <v>#N/A</v>
      </c>
      <c r="C24" s="152" t="e">
        <f>MATCH(A24,$50:$50,0)</f>
        <v>#N/A</v>
      </c>
    </row>
    <row r="25" spans="1:30" hidden="1" outlineLevel="1" x14ac:dyDescent="0.3">
      <c r="A25" s="150" t="s">
        <v>88</v>
      </c>
      <c r="B25" s="151" t="e">
        <f>ADDRESS(50,MATCH(A25,$50:$50,0))</f>
        <v>#N/A</v>
      </c>
      <c r="C25" s="152" t="e">
        <f>MATCH(A25,$50:$50,0)</f>
        <v>#N/A</v>
      </c>
    </row>
    <row r="26" spans="1:30" hidden="1" outlineLevel="1" x14ac:dyDescent="0.3"/>
    <row r="27" spans="1:30" hidden="1" outlineLevel="1" x14ac:dyDescent="0.3">
      <c r="AD27" s="199"/>
    </row>
    <row r="28" spans="1:30" hidden="1" outlineLevel="1" x14ac:dyDescent="0.3"/>
    <row r="29" spans="1:30" ht="15" hidden="1" outlineLevel="1" thickBot="1" x14ac:dyDescent="0.35">
      <c r="A29" s="148"/>
      <c r="B29" s="148"/>
    </row>
    <row r="30" spans="1:30" hidden="1" outlineLevel="1" x14ac:dyDescent="0.3">
      <c r="A30" s="150" t="s">
        <v>124</v>
      </c>
      <c r="B30" s="151" t="str">
        <f>IF(_epmOfflineCondition_,"2017",_xll.EPMMemberDesc(A30,$A$3))</f>
        <v>2017</v>
      </c>
    </row>
    <row r="31" spans="1:30" hidden="1" outlineLevel="1" x14ac:dyDescent="0.3"/>
    <row r="32" spans="1:30" hidden="1" outlineLevel="1" x14ac:dyDescent="0.3"/>
    <row r="33" spans="19:99" hidden="1" outlineLevel="1" x14ac:dyDescent="0.3"/>
    <row r="34" spans="19:99" hidden="1" outlineLevel="1" x14ac:dyDescent="0.3"/>
    <row r="35" spans="19:99" hidden="1" outlineLevel="1" x14ac:dyDescent="0.3"/>
    <row r="36" spans="19:99" hidden="1" outlineLevel="1" x14ac:dyDescent="0.3"/>
    <row r="37" spans="19:99" hidden="1" outlineLevel="1" x14ac:dyDescent="0.3"/>
    <row r="38" spans="19:99" collapsed="1" x14ac:dyDescent="0.3">
      <c r="S38" t="s">
        <v>100</v>
      </c>
    </row>
    <row r="39" spans="19:99" ht="15.6" x14ac:dyDescent="0.3">
      <c r="S39" s="156">
        <f>IF(F8=0,1,0)</f>
        <v>1</v>
      </c>
      <c r="T39" s="123" t="s">
        <v>96</v>
      </c>
      <c r="U39" s="156">
        <f>IF(F9=0,1,0)</f>
        <v>1</v>
      </c>
      <c r="V39" s="123" t="s">
        <v>97</v>
      </c>
      <c r="W39" s="156">
        <f>IF(F12=0,1,0)</f>
        <v>1</v>
      </c>
      <c r="X39" s="123" t="s">
        <v>25</v>
      </c>
      <c r="Y39" s="122"/>
      <c r="Z39" s="252" t="s">
        <v>99</v>
      </c>
      <c r="AA39" s="253"/>
    </row>
    <row r="40" spans="19:99" x14ac:dyDescent="0.3">
      <c r="S40" s="124" t="str">
        <f>IF(_epmOfflineCondition_,"O073",_xll.EPMContextMember($A$3,B8))</f>
        <v>O073</v>
      </c>
      <c r="T40" s="125" t="str">
        <f>IF(_epmOfflineCondition_,"Consorci del Besòs",_xll.EPMMemberProperty($A$3,$S$40,$T$4))</f>
        <v>Consorci del Besòs</v>
      </c>
      <c r="U40" s="126" t="str">
        <f>IF(_epmOfflineCondition_,"2017",_xll.EPMContextMember($A$3,B9,D9))</f>
        <v>2017</v>
      </c>
      <c r="V40" s="125" t="str">
        <f>IF(_epmOfflineCondition_,"2017",_xll.EPMMemberDesc(U40,$A$3))</f>
        <v>2017</v>
      </c>
      <c r="W40" s="127" t="s">
        <v>126</v>
      </c>
      <c r="X40" s="125" t="str">
        <f>IF(_epmOfflineCondition_,"Pressupost aprovat",_xll.EPMMemberDesc(W40,$A$3))</f>
        <v>Pressupost aprovat</v>
      </c>
      <c r="Y40" s="153" t="str">
        <f>E6</f>
        <v>E073</v>
      </c>
      <c r="Z40" s="254" t="str">
        <f>IF(_epmOfflineCondition_,"Consorci del Besòs",_xll.EPMMemberDesc(Y40,$A$3))</f>
        <v>Consorci del Besòs</v>
      </c>
      <c r="AA40" s="255"/>
    </row>
    <row r="42" spans="19:99" x14ac:dyDescent="0.3">
      <c r="V42" s="256" t="str">
        <f>IF(F3&lt;&gt;0,"       Realitzi una selecció vàlida","")</f>
        <v/>
      </c>
      <c r="W42" s="256"/>
      <c r="X42" s="256"/>
    </row>
    <row r="43" spans="19:99" ht="12" customHeight="1" x14ac:dyDescent="0.3"/>
    <row r="44" spans="19:99" x14ac:dyDescent="0.3">
      <c r="AE44"/>
      <c r="AG44"/>
    </row>
    <row r="45" spans="19:99" ht="15" customHeight="1" x14ac:dyDescent="0.3">
      <c r="S45" s="248" t="s">
        <v>134</v>
      </c>
      <c r="T45" s="249"/>
      <c r="U45" s="162" t="str">
        <f>U1</f>
        <v>2015.12</v>
      </c>
      <c r="V45" s="162">
        <f>V1-1</f>
        <v>2016</v>
      </c>
      <c r="W45" s="162" t="str">
        <f>W1</f>
        <v>2016.06</v>
      </c>
      <c r="X45" s="257" t="str">
        <f>C9</f>
        <v>2017</v>
      </c>
      <c r="Y45" s="259"/>
      <c r="AE45"/>
      <c r="AG45"/>
    </row>
    <row r="46" spans="19:99" ht="26.25" customHeight="1" x14ac:dyDescent="0.3">
      <c r="S46" s="250"/>
      <c r="T46" s="251"/>
      <c r="U46" s="162" t="s">
        <v>117</v>
      </c>
      <c r="V46" s="162" t="s">
        <v>120</v>
      </c>
      <c r="W46" s="162" t="s">
        <v>117</v>
      </c>
      <c r="X46" s="162" t="s">
        <v>27</v>
      </c>
      <c r="Y46" s="162" t="s">
        <v>28</v>
      </c>
      <c r="AE46"/>
      <c r="AG46"/>
    </row>
    <row r="47" spans="19:99" ht="3.75" customHeight="1" x14ac:dyDescent="0.3">
      <c r="AE47"/>
      <c r="AG47"/>
    </row>
    <row r="48" spans="19:99" hidden="1" x14ac:dyDescent="0.3"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s="109" t="str">
        <f>IF(_epmOfflineCondition_,"2015.12", _xll.EPMOlapMemberO($U$1,"[PERIODE].[PARENTH1].[2015.12]","2015.12","","000"))</f>
        <v>2015.12</v>
      </c>
      <c r="V48" s="109" t="str">
        <f>IF(_epmOfflineCondition_,"2017", _xll.EPMOlapMemberO($V$1,"[PERIODE].[PARENTH1].[2017]","2017","","000"))</f>
        <v>2017</v>
      </c>
      <c r="W48" s="109" t="str">
        <f>IF(_epmOfflineCondition_,"2016.06", _xll.EPMOlapMemberO($W$1,"[PERIODE].[PARENTH1].[2016.06]","2016.06","","000"))</f>
        <v>2016.06</v>
      </c>
      <c r="X48" s="109" t="str">
        <f>IF(_epmOfflineCondition_,"2017", _xll.EPMOlapMemberO($X$1,"[PERIODE].[PARENTH1].[2017]","2017","","000"))</f>
        <v>2017</v>
      </c>
      <c r="Y48" s="109" t="str">
        <f>IF(_epmOfflineCondition_,"2017", _xll.EPMOlapMemberO($Y$1,"[PERIODE].[PARENTH1].[2017]","2017","","000"))</f>
        <v>2017</v>
      </c>
      <c r="AE48"/>
      <c r="AG48"/>
      <c r="AH48" s="109"/>
      <c r="AI48" s="109"/>
      <c r="AJ48" s="109"/>
      <c r="AK48" s="109"/>
      <c r="AL48" s="109"/>
      <c r="AM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</row>
    <row r="49" spans="16:33" hidden="1" x14ac:dyDescent="0.3">
      <c r="P49" s="25" t="s">
        <v>127</v>
      </c>
      <c r="Q49" s="25" t="s">
        <v>128</v>
      </c>
      <c r="R49" s="25" t="s">
        <v>129</v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s="109" t="str">
        <f>IF(_epmOfflineCondition_,"TINGEXCECRI", _xll.EPMOlapMemberO($U$2,"[TIPUS_DATO].[PARENTH1].[TINGEXCECRI]","TINGEXCECRI - Reconeixement_RI","","000"))</f>
        <v>TINGEXCECRI</v>
      </c>
      <c r="V49" s="109" t="str">
        <f>IF(_epmOfflineCondition_,"TICREDINI", _xll.EPMOlapMemberO($V$2,"[TIPUS_DATO].[PARENTH1].[TICREDINI]","TICREDINI - Crèdit Inicial EXERCICI -1","","000"))</f>
        <v>TICREDINI</v>
      </c>
      <c r="W49" s="109" t="str">
        <f>IF(_epmOfflineCondition_,"TINGEXCECRI", _xll.EPMOlapMemberO($W$2,"[TIPUS_DATO].[PARENTH1].[TINGEXCECRI]","TINGEXCECRI - Reconeixement_RI","","000"))</f>
        <v>TINGEXCECRI</v>
      </c>
      <c r="X49" s="109" t="str">
        <f>IF(_epmOfflineCondition_,"TIPREMAN", _xll.EPMOlapMemberO($X$2,"[TIPUS_DATO].[PARENTH1].[TIPREMAN]","TIPREMAN - Pressupost manual","","000"))</f>
        <v>TIPREMAN</v>
      </c>
      <c r="Y49" s="109" t="str">
        <f>IF(_epmOfflineCondition_,"TIPRETOT", _xll.EPMOlapMemberO($Y$2,"[TIPUS_DATO].[PARENTH1].[TIPRETOT]","TIPRETOT - Pressupost total","","000"))</f>
        <v>TIPRETOT</v>
      </c>
      <c r="AE49"/>
      <c r="AG49"/>
    </row>
    <row r="50" spans="16:33" hidden="1" x14ac:dyDescent="0.3">
      <c r="P50" s="26"/>
      <c r="Q50" s="26"/>
      <c r="R50" s="26"/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s="109" t="str">
        <f>IF(_epmOfflineCondition_,"V1_C", _xll.EPMOlapMemberO($U$3,"[VERSIO].[PARENTH1].[V1_C]","V1_C - Executat","","000"))</f>
        <v>V1_C</v>
      </c>
      <c r="V50" s="109" t="str">
        <f>IF(_epmOfflineCondition_,"VCARG", _xll.EPMOlapMemberO($V$3,"[VERSIO].[PARENTH1].[VCARG]","VCARG - Crédits Inicials i plurianuals EcoFin","","000"))</f>
        <v>VCARG</v>
      </c>
      <c r="W50" s="109" t="str">
        <f>IF(_epmOfflineCondition_,"V1_C", _xll.EPMOlapMemberO($W$3,"[VERSIO].[PARENTH1].[V1_C]","V1_C - Executat","","000"))</f>
        <v>V1_C</v>
      </c>
      <c r="X50" s="109" t="str">
        <f>IF(_epmOfflineCondition_,"VF", _xll.EPMOlapMemberO($X$3,"[VERSIO].[PARENTH1].[VF]","VF - Pressupost aprovat","","000"))</f>
        <v>VF</v>
      </c>
      <c r="Y50" s="109" t="str">
        <f>IF(_epmOfflineCondition_,"VF", _xll.EPMOlapMemberO($Y$3,"[VERSIO].[PARENTH1].[VF]","VF - Pressupost aprovat","","000"))</f>
        <v>VF</v>
      </c>
      <c r="AE50"/>
      <c r="AG50"/>
    </row>
    <row r="51" spans="16:33" x14ac:dyDescent="0.3">
      <c r="R51" s="206" t="str">
        <f>IF(_epmOfflineCondition_,"E073I3", _xll.EPMOlapMemberO("[ECONOMIC_D].[PARENTH1].[E073I3]","","E073I3","","000"))</f>
        <v>E073I3</v>
      </c>
      <c r="S51" s="192" t="str">
        <f>IF(R51="TOTAL", "TOTAL", IF(R51="ECDUMMY", "", MID(R51, 6, LEN(R51))))</f>
        <v>3</v>
      </c>
      <c r="T51" s="192" t="str">
        <f>IF(_epmOfflineCondition_,"TAXES I ALTRES INGRESSOS",IF(R51="TOTAL", "TOTAL", _xll.EPMMemberProperty($A$3, R51, $T$4)))</f>
        <v>TAXES I ALTRES INGRESSOS</v>
      </c>
      <c r="U51" s="192">
        <v>5192.97</v>
      </c>
      <c r="V51" s="192"/>
      <c r="W51" s="192"/>
      <c r="X51" s="192">
        <v>44504</v>
      </c>
      <c r="Y51" s="192">
        <f>SUM(X51)</f>
        <v>44504</v>
      </c>
      <c r="AE51"/>
      <c r="AG51"/>
    </row>
    <row r="52" spans="16:33" x14ac:dyDescent="0.3">
      <c r="R52" s="206" t="str">
        <f>IF(_epmOfflineCondition_,"E073I4", _xll.EPMOlapMemberO("[ECONOMIC_D].[PARENTH1].[E073I4]","","E073I4","","000"))</f>
        <v>E073I4</v>
      </c>
      <c r="S52" s="192" t="str">
        <f t="shared" ref="S52:S57" si="2">IF(R52="TOTAL", "TOTAL", IF(R52="ECDUMMY", "", MID(R52, 6, LEN(R52))))</f>
        <v>4</v>
      </c>
      <c r="T52" s="192" t="str">
        <f>IF(_epmOfflineCondition_,"TRANSFERENCIES CORRENTS",IF(R52="TOTAL", "TOTAL", _xll.EPMMemberProperty($A$3, R52, $T$4)))</f>
        <v>TRANSFERENCIES CORRENTS</v>
      </c>
      <c r="U52" s="192">
        <v>2777708.6</v>
      </c>
      <c r="V52" s="192"/>
      <c r="W52" s="192"/>
      <c r="X52" s="192">
        <v>1836287</v>
      </c>
      <c r="Y52" s="192">
        <f t="shared" ref="Y52:Y56" si="3">SUM(X52)</f>
        <v>1836287</v>
      </c>
      <c r="AE52"/>
      <c r="AG52"/>
    </row>
    <row r="53" spans="16:33" x14ac:dyDescent="0.3">
      <c r="R53" s="206" t="str">
        <f>IF(_epmOfflineCondition_,"E073I5", _xll.EPMOlapMemberO("[ECONOMIC_D].[PARENTH1].[E073I5]","","E073I5","","000"))</f>
        <v>E073I5</v>
      </c>
      <c r="S53" s="192" t="str">
        <f t="shared" si="2"/>
        <v>5</v>
      </c>
      <c r="T53" s="192" t="str">
        <f>IF(_epmOfflineCondition_,"INGRESSOS PATRIMONIALS",IF(R53="TOTAL", "TOTAL", _xll.EPMMemberProperty($A$3, R53, $T$4)))</f>
        <v>INGRESSOS PATRIMONIALS</v>
      </c>
      <c r="U53" s="192">
        <v>367448.56</v>
      </c>
      <c r="V53" s="192"/>
      <c r="W53" s="192"/>
      <c r="X53" s="192">
        <v>386327</v>
      </c>
      <c r="Y53" s="192">
        <f t="shared" si="3"/>
        <v>386327</v>
      </c>
      <c r="AE53"/>
      <c r="AG53"/>
    </row>
    <row r="54" spans="16:33" x14ac:dyDescent="0.3">
      <c r="R54" s="206" t="str">
        <f>IF(_epmOfflineCondition_,"E073I7", _xll.EPMOlapMemberO("[ECONOMIC_D].[PARENTH1].[E073I7]","","E073I7","","000"))</f>
        <v>E073I7</v>
      </c>
      <c r="S54" s="192" t="str">
        <f t="shared" si="2"/>
        <v>7</v>
      </c>
      <c r="T54" s="192" t="str">
        <f>IF(_epmOfflineCondition_,"TRANSFERENCIES DE CAPITAL",IF(R54="TOTAL", "TOTAL", _xll.EPMMemberProperty($A$3, R54, $T$4)))</f>
        <v>TRANSFERENCIES DE CAPITAL</v>
      </c>
      <c r="U54" s="192">
        <v>650000</v>
      </c>
      <c r="V54" s="192"/>
      <c r="W54" s="192"/>
      <c r="X54" s="192">
        <v>12</v>
      </c>
      <c r="Y54" s="192">
        <f t="shared" si="3"/>
        <v>12</v>
      </c>
      <c r="AE54"/>
      <c r="AG54"/>
    </row>
    <row r="55" spans="16:33" x14ac:dyDescent="0.3">
      <c r="R55" s="206" t="str">
        <f>IF(_epmOfflineCondition_,"E073I8", _xll.EPMOlapMemberO("[ECONOMIC_D].[PARENTH1].[E073I8]","","E073I8","","000"))</f>
        <v>E073I8</v>
      </c>
      <c r="S55" s="192" t="str">
        <f t="shared" si="2"/>
        <v>8</v>
      </c>
      <c r="T55" s="192" t="str">
        <f>IF(_epmOfflineCondition_,"ACTIUS FINANCERS",IF(R55="TOTAL", "TOTAL", _xll.EPMMemberProperty($A$3, R55, $T$4)))</f>
        <v>ACTIUS FINANCERS</v>
      </c>
      <c r="U55" s="192">
        <v>14650</v>
      </c>
      <c r="V55" s="192"/>
      <c r="W55" s="192"/>
      <c r="X55" s="192">
        <v>10001</v>
      </c>
      <c r="Y55" s="192">
        <f t="shared" si="3"/>
        <v>10001</v>
      </c>
      <c r="AE55"/>
      <c r="AG55"/>
    </row>
    <row r="56" spans="16:33" x14ac:dyDescent="0.3">
      <c r="R56" s="206" t="str">
        <f>IF(_epmOfflineCondition_,"E073I9", _xll.EPMOlapMemberO("[ECONOMIC_D].[PARENTH1].[E073I9]","","E073I9","","000"))</f>
        <v>E073I9</v>
      </c>
      <c r="S56" s="192" t="str">
        <f t="shared" si="2"/>
        <v>9</v>
      </c>
      <c r="T56" s="192" t="str">
        <f>IF(_epmOfflineCondition_,"PASSIUS FINANCERS",IF(R56="TOTAL", "TOTAL", _xll.EPMMemberProperty($A$3, R56, $T$4)))</f>
        <v>PASSIUS FINANCERS</v>
      </c>
      <c r="U56" s="192"/>
      <c r="V56" s="192"/>
      <c r="W56" s="192"/>
      <c r="X56" s="192">
        <v>1</v>
      </c>
      <c r="Y56" s="192">
        <f t="shared" si="3"/>
        <v>1</v>
      </c>
      <c r="AE56"/>
      <c r="AG56"/>
    </row>
    <row r="57" spans="16:33" x14ac:dyDescent="0.3">
      <c r="R57" s="109" t="str">
        <f>IF(_epmOfflineCondition_,"TOTAL", _xll.FPMXLClient.TechnicalCategory.EPMLocalMember("TOTAL","012","000"))</f>
        <v>TOTAL</v>
      </c>
      <c r="S57" s="192" t="str">
        <f t="shared" si="2"/>
        <v>TOTAL</v>
      </c>
      <c r="T57" s="192" t="str">
        <f>IF(_epmOfflineCondition_,"TOTAL",IF(R57="TOTAL", "TOTAL", _xll.EPMMemberProperty($A$3, R57, $T$4)))</f>
        <v>TOTAL</v>
      </c>
      <c r="U57" s="192">
        <f t="shared" ref="U57:Y57" si="4">SUM(U51:U56)</f>
        <v>3815000.1300000004</v>
      </c>
      <c r="V57" s="192">
        <f t="shared" si="4"/>
        <v>0</v>
      </c>
      <c r="W57" s="192">
        <f t="shared" si="4"/>
        <v>0</v>
      </c>
      <c r="X57" s="192">
        <f t="shared" si="4"/>
        <v>2277132</v>
      </c>
      <c r="Y57" s="192">
        <f t="shared" si="4"/>
        <v>2277132</v>
      </c>
      <c r="AE57"/>
      <c r="AG57"/>
    </row>
    <row r="58" spans="16:33" x14ac:dyDescent="0.3">
      <c r="AE58"/>
      <c r="AG58"/>
    </row>
    <row r="59" spans="16:33" x14ac:dyDescent="0.3">
      <c r="AE59"/>
      <c r="AG59"/>
    </row>
    <row r="60" spans="16:33" x14ac:dyDescent="0.3">
      <c r="AE60"/>
      <c r="AG60"/>
    </row>
    <row r="61" spans="16:33" x14ac:dyDescent="0.3">
      <c r="AE61"/>
      <c r="AG61"/>
    </row>
    <row r="62" spans="16:33" x14ac:dyDescent="0.3">
      <c r="AE62"/>
      <c r="AG62"/>
    </row>
    <row r="63" spans="16:33" x14ac:dyDescent="0.3">
      <c r="AE63"/>
      <c r="AG63"/>
    </row>
    <row r="64" spans="16:33" x14ac:dyDescent="0.3">
      <c r="AE64"/>
      <c r="AG64"/>
    </row>
    <row r="65" spans="26:33" x14ac:dyDescent="0.3">
      <c r="AE65"/>
      <c r="AG65"/>
    </row>
    <row r="66" spans="26:33" x14ac:dyDescent="0.3">
      <c r="AE66"/>
      <c r="AG66"/>
    </row>
    <row r="67" spans="26:33" x14ac:dyDescent="0.3">
      <c r="AE67"/>
      <c r="AG67"/>
    </row>
    <row r="68" spans="26:33" x14ac:dyDescent="0.3">
      <c r="AE68"/>
      <c r="AG68"/>
    </row>
    <row r="69" spans="26:33" x14ac:dyDescent="0.3">
      <c r="AE69"/>
      <c r="AG69"/>
    </row>
    <row r="70" spans="26:33" x14ac:dyDescent="0.3">
      <c r="AE70"/>
      <c r="AG70"/>
    </row>
    <row r="71" spans="26:33" x14ac:dyDescent="0.3">
      <c r="AE71"/>
      <c r="AG71"/>
    </row>
    <row r="72" spans="26:33" x14ac:dyDescent="0.3">
      <c r="AE72"/>
      <c r="AG72"/>
    </row>
    <row r="73" spans="26:33" x14ac:dyDescent="0.3">
      <c r="AE73"/>
      <c r="AG73"/>
    </row>
    <row r="74" spans="26:33" x14ac:dyDescent="0.3">
      <c r="AE74"/>
      <c r="AG74"/>
    </row>
    <row r="75" spans="26:33" x14ac:dyDescent="0.3">
      <c r="AE75"/>
      <c r="AG75"/>
    </row>
    <row r="76" spans="26:33" x14ac:dyDescent="0.3">
      <c r="AE76"/>
      <c r="AG76"/>
    </row>
    <row r="77" spans="26:33" x14ac:dyDescent="0.3">
      <c r="AB77" s="200"/>
      <c r="AC77" s="200"/>
      <c r="AD77" s="200"/>
      <c r="AE77" s="200"/>
      <c r="AF77" s="200"/>
      <c r="AG77" s="200"/>
    </row>
    <row r="79" spans="26:33" x14ac:dyDescent="0.3">
      <c r="Z79" s="200"/>
      <c r="AA79" s="200"/>
    </row>
    <row r="81" spans="19:27" x14ac:dyDescent="0.3">
      <c r="AA81" s="165"/>
    </row>
    <row r="82" spans="19:27" x14ac:dyDescent="0.3">
      <c r="S82" s="200"/>
      <c r="T82" s="200"/>
      <c r="U82" s="200"/>
      <c r="V82" s="200"/>
      <c r="W82" s="200"/>
      <c r="X82" s="200"/>
      <c r="Y82" s="200"/>
      <c r="AA82" s="165"/>
    </row>
    <row r="83" spans="19:27" x14ac:dyDescent="0.3">
      <c r="AA83" s="165"/>
    </row>
    <row r="84" spans="19:27" x14ac:dyDescent="0.3">
      <c r="AA84" s="165"/>
    </row>
    <row r="85" spans="19:27" x14ac:dyDescent="0.3">
      <c r="AA85" s="165"/>
    </row>
    <row r="86" spans="19:27" x14ac:dyDescent="0.3">
      <c r="AA86" s="165"/>
    </row>
    <row r="87" spans="19:27" x14ac:dyDescent="0.3">
      <c r="AA87" s="165"/>
    </row>
    <row r="88" spans="19:27" x14ac:dyDescent="0.3">
      <c r="AA88" s="165"/>
    </row>
    <row r="89" spans="19:27" x14ac:dyDescent="0.3">
      <c r="AA89" s="165"/>
    </row>
    <row r="90" spans="19:27" x14ac:dyDescent="0.3">
      <c r="AA90" s="165"/>
    </row>
    <row r="91" spans="19:27" x14ac:dyDescent="0.3">
      <c r="AA91" s="165"/>
    </row>
    <row r="92" spans="19:27" x14ac:dyDescent="0.3">
      <c r="AA92" s="165"/>
    </row>
    <row r="93" spans="19:27" x14ac:dyDescent="0.3">
      <c r="AA93" s="165"/>
    </row>
    <row r="94" spans="19:27" x14ac:dyDescent="0.3">
      <c r="AA94" s="165"/>
    </row>
    <row r="95" spans="19:27" x14ac:dyDescent="0.3">
      <c r="V95" s="199"/>
      <c r="AA95" s="165"/>
    </row>
    <row r="96" spans="19:27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  <row r="3161" spans="27:27" x14ac:dyDescent="0.3">
      <c r="AA3161" s="165"/>
    </row>
    <row r="3162" spans="27:27" x14ac:dyDescent="0.3">
      <c r="AA3162" s="165"/>
    </row>
    <row r="3163" spans="27:27" x14ac:dyDescent="0.3">
      <c r="AA3163" s="165"/>
    </row>
    <row r="3164" spans="27:27" x14ac:dyDescent="0.3">
      <c r="AA3164" s="165"/>
    </row>
    <row r="3165" spans="27:27" x14ac:dyDescent="0.3">
      <c r="AA3165" s="165"/>
    </row>
    <row r="3166" spans="27:27" x14ac:dyDescent="0.3">
      <c r="AA3166" s="165"/>
    </row>
    <row r="3167" spans="27:27" x14ac:dyDescent="0.3">
      <c r="AA3167" s="165"/>
    </row>
    <row r="3168" spans="27:27" x14ac:dyDescent="0.3">
      <c r="AA3168" s="165"/>
    </row>
    <row r="3169" spans="27:27" x14ac:dyDescent="0.3">
      <c r="AA3169" s="165"/>
    </row>
    <row r="3170" spans="27:27" x14ac:dyDescent="0.3">
      <c r="AA3170" s="165"/>
    </row>
    <row r="3171" spans="27:27" x14ac:dyDescent="0.3">
      <c r="AA3171" s="165"/>
    </row>
    <row r="3172" spans="27:27" x14ac:dyDescent="0.3">
      <c r="AA3172" s="165"/>
    </row>
    <row r="3173" spans="27:27" x14ac:dyDescent="0.3">
      <c r="AA3173" s="165"/>
    </row>
    <row r="3174" spans="27:27" x14ac:dyDescent="0.3">
      <c r="AA3174" s="165"/>
    </row>
    <row r="3175" spans="27:27" x14ac:dyDescent="0.3">
      <c r="AA3175" s="165"/>
    </row>
    <row r="3176" spans="27:27" x14ac:dyDescent="0.3">
      <c r="AA3176" s="165"/>
    </row>
    <row r="3177" spans="27:27" x14ac:dyDescent="0.3">
      <c r="AA3177" s="165"/>
    </row>
    <row r="3178" spans="27:27" x14ac:dyDescent="0.3">
      <c r="AA3178" s="165"/>
    </row>
    <row r="3179" spans="27:27" x14ac:dyDescent="0.3">
      <c r="AA3179" s="165"/>
    </row>
    <row r="3180" spans="27:27" x14ac:dyDescent="0.3">
      <c r="AA3180" s="165"/>
    </row>
    <row r="3181" spans="27:27" x14ac:dyDescent="0.3">
      <c r="AA3181" s="165"/>
    </row>
    <row r="3182" spans="27:27" x14ac:dyDescent="0.3">
      <c r="AA3182" s="165"/>
    </row>
    <row r="3183" spans="27:27" x14ac:dyDescent="0.3">
      <c r="AA3183" s="165"/>
    </row>
    <row r="3184" spans="27:27" x14ac:dyDescent="0.3">
      <c r="AA3184" s="165"/>
    </row>
    <row r="3185" spans="27:27" x14ac:dyDescent="0.3">
      <c r="AA3185" s="165"/>
    </row>
    <row r="3186" spans="27:27" x14ac:dyDescent="0.3">
      <c r="AA3186" s="165"/>
    </row>
    <row r="3187" spans="27:27" x14ac:dyDescent="0.3">
      <c r="AA3187" s="165"/>
    </row>
    <row r="3188" spans="27:27" x14ac:dyDescent="0.3">
      <c r="AA3188" s="165"/>
    </row>
    <row r="3189" spans="27:27" x14ac:dyDescent="0.3">
      <c r="AA3189" s="165"/>
    </row>
    <row r="3190" spans="27:27" x14ac:dyDescent="0.3">
      <c r="AA3190" s="165"/>
    </row>
    <row r="3191" spans="27:27" x14ac:dyDescent="0.3">
      <c r="AA3191" s="165"/>
    </row>
    <row r="3192" spans="27:27" x14ac:dyDescent="0.3">
      <c r="AA3192" s="165"/>
    </row>
    <row r="3193" spans="27:27" x14ac:dyDescent="0.3">
      <c r="AA3193" s="165"/>
    </row>
    <row r="3194" spans="27:27" x14ac:dyDescent="0.3">
      <c r="AA3194" s="165"/>
    </row>
    <row r="3195" spans="27:27" x14ac:dyDescent="0.3">
      <c r="AA3195" s="165"/>
    </row>
    <row r="3196" spans="27:27" x14ac:dyDescent="0.3">
      <c r="AA3196" s="165"/>
    </row>
    <row r="3197" spans="27:27" x14ac:dyDescent="0.3">
      <c r="AA3197" s="165"/>
    </row>
    <row r="3198" spans="27:27" x14ac:dyDescent="0.3">
      <c r="AA3198" s="165"/>
    </row>
    <row r="3199" spans="27:27" x14ac:dyDescent="0.3">
      <c r="AA3199" s="165"/>
    </row>
    <row r="3200" spans="27:27" x14ac:dyDescent="0.3">
      <c r="AA3200" s="165"/>
    </row>
    <row r="3201" spans="27:27" x14ac:dyDescent="0.3">
      <c r="AA3201" s="165"/>
    </row>
    <row r="3202" spans="27:27" x14ac:dyDescent="0.3">
      <c r="AA3202" s="165"/>
    </row>
    <row r="3203" spans="27:27" x14ac:dyDescent="0.3">
      <c r="AA3203" s="165"/>
    </row>
    <row r="3204" spans="27:27" x14ac:dyDescent="0.3">
      <c r="AA3204" s="165"/>
    </row>
    <row r="3205" spans="27:27" x14ac:dyDescent="0.3">
      <c r="AA3205" s="165"/>
    </row>
    <row r="3206" spans="27:27" x14ac:dyDescent="0.3">
      <c r="AA3206" s="165"/>
    </row>
    <row r="3207" spans="27:27" x14ac:dyDescent="0.3">
      <c r="AA3207" s="165"/>
    </row>
    <row r="3208" spans="27:27" x14ac:dyDescent="0.3">
      <c r="AA3208" s="165"/>
    </row>
    <row r="3209" spans="27:27" x14ac:dyDescent="0.3">
      <c r="AA3209" s="165"/>
    </row>
    <row r="3210" spans="27:27" x14ac:dyDescent="0.3">
      <c r="AA3210" s="165"/>
    </row>
    <row r="3211" spans="27:27" x14ac:dyDescent="0.3">
      <c r="AA3211" s="165"/>
    </row>
    <row r="3212" spans="27:27" x14ac:dyDescent="0.3">
      <c r="AA3212" s="165"/>
    </row>
    <row r="3213" spans="27:27" x14ac:dyDescent="0.3">
      <c r="AA3213" s="165"/>
    </row>
    <row r="3214" spans="27:27" x14ac:dyDescent="0.3">
      <c r="AA3214" s="165"/>
    </row>
    <row r="3215" spans="27:27" x14ac:dyDescent="0.3">
      <c r="AA3215" s="165"/>
    </row>
    <row r="3216" spans="27:27" x14ac:dyDescent="0.3">
      <c r="AA3216" s="165"/>
    </row>
    <row r="3217" spans="27:27" x14ac:dyDescent="0.3">
      <c r="AA3217" s="165"/>
    </row>
    <row r="3218" spans="27:27" x14ac:dyDescent="0.3">
      <c r="AA3218" s="165"/>
    </row>
    <row r="3219" spans="27:27" x14ac:dyDescent="0.3">
      <c r="AA3219" s="165"/>
    </row>
    <row r="3220" spans="27:27" x14ac:dyDescent="0.3">
      <c r="AA3220" s="165"/>
    </row>
    <row r="3221" spans="27:27" x14ac:dyDescent="0.3">
      <c r="AA3221" s="165"/>
    </row>
    <row r="3222" spans="27:27" x14ac:dyDescent="0.3">
      <c r="AA3222" s="165"/>
    </row>
    <row r="3223" spans="27:27" x14ac:dyDescent="0.3">
      <c r="AA3223" s="165"/>
    </row>
    <row r="3224" spans="27:27" x14ac:dyDescent="0.3">
      <c r="AA3224" s="165"/>
    </row>
    <row r="3225" spans="27:27" x14ac:dyDescent="0.3">
      <c r="AA3225" s="165"/>
    </row>
    <row r="3226" spans="27:27" x14ac:dyDescent="0.3">
      <c r="AA3226" s="165"/>
    </row>
    <row r="3227" spans="27:27" x14ac:dyDescent="0.3">
      <c r="AA3227" s="165"/>
    </row>
    <row r="3228" spans="27:27" x14ac:dyDescent="0.3">
      <c r="AA3228" s="165"/>
    </row>
    <row r="3229" spans="27:27" x14ac:dyDescent="0.3">
      <c r="AA3229" s="165"/>
    </row>
    <row r="3230" spans="27:27" x14ac:dyDescent="0.3">
      <c r="AA3230" s="165"/>
    </row>
    <row r="3231" spans="27:27" x14ac:dyDescent="0.3">
      <c r="AA3231" s="165"/>
    </row>
    <row r="3232" spans="27:27" x14ac:dyDescent="0.3">
      <c r="AA3232" s="165"/>
    </row>
    <row r="3233" spans="27:27" x14ac:dyDescent="0.3">
      <c r="AA3233" s="165"/>
    </row>
    <row r="3234" spans="27:27" x14ac:dyDescent="0.3">
      <c r="AA3234" s="165"/>
    </row>
    <row r="3235" spans="27:27" x14ac:dyDescent="0.3">
      <c r="AA3235" s="165"/>
    </row>
    <row r="3236" spans="27:27" x14ac:dyDescent="0.3">
      <c r="AA3236" s="165"/>
    </row>
    <row r="3237" spans="27:27" x14ac:dyDescent="0.3">
      <c r="AA3237" s="165"/>
    </row>
    <row r="3238" spans="27:27" x14ac:dyDescent="0.3">
      <c r="AA3238" s="165"/>
    </row>
    <row r="3239" spans="27:27" x14ac:dyDescent="0.3">
      <c r="AA3239" s="165"/>
    </row>
    <row r="3240" spans="27:27" x14ac:dyDescent="0.3">
      <c r="AA3240" s="165"/>
    </row>
    <row r="3241" spans="27:27" x14ac:dyDescent="0.3">
      <c r="AA3241" s="165"/>
    </row>
    <row r="3242" spans="27:27" x14ac:dyDescent="0.3">
      <c r="AA3242" s="165"/>
    </row>
    <row r="3243" spans="27:27" x14ac:dyDescent="0.3">
      <c r="AA3243" s="165"/>
    </row>
    <row r="3244" spans="27:27" x14ac:dyDescent="0.3">
      <c r="AA3244" s="165"/>
    </row>
    <row r="3245" spans="27:27" x14ac:dyDescent="0.3">
      <c r="AA3245" s="165"/>
    </row>
    <row r="3246" spans="27:27" x14ac:dyDescent="0.3">
      <c r="AA3246" s="165"/>
    </row>
    <row r="3247" spans="27:27" x14ac:dyDescent="0.3">
      <c r="AA3247" s="165"/>
    </row>
    <row r="3248" spans="27:27" x14ac:dyDescent="0.3">
      <c r="AA3248" s="165"/>
    </row>
  </sheetData>
  <sheetProtection password="BC6F" sheet="1" objects="1" scenarios="1"/>
  <mergeCells count="8">
    <mergeCell ref="V42:X42"/>
    <mergeCell ref="S45:T46"/>
    <mergeCell ref="X45:Y45"/>
    <mergeCell ref="A1:I1"/>
    <mergeCell ref="B19:C19"/>
    <mergeCell ref="D19:E19"/>
    <mergeCell ref="Z39:AA39"/>
    <mergeCell ref="Z40:AA40"/>
  </mergeCells>
  <conditionalFormatting sqref="S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2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5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1" r:id="rId4" name="FPMExcelClientSheetOptionstb1"/>
      </mc:Fallback>
    </mc:AlternateContent>
    <mc:AlternateContent xmlns:mc="http://schemas.openxmlformats.org/markup-compatibility/2006">
      <mc:Choice Requires="x14">
        <control shapeId="6150" r:id="rId6" name="ReportSubmitControl_1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0" r:id="rId6" name="ReportSubmitControl_1tb1"/>
      </mc:Fallback>
    </mc:AlternateContent>
    <mc:AlternateContent xmlns:mc="http://schemas.openxmlformats.org/markup-compatibility/2006">
      <mc:Choice Requires="x14">
        <control shapeId="6149" r:id="rId8" name="ReportSubmitManagerControl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9" r:id="rId8" name="ReportSubmitManagerControl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7" r:id="rId12" name="ConnectionDescriptorsInfo000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7" r:id="rId12" name="ConnectionDescriptorsInfo000tb1"/>
      </mc:Fallback>
    </mc:AlternateContent>
    <mc:AlternateContent xmlns:mc="http://schemas.openxmlformats.org/markup-compatibility/2006">
      <mc:Choice Requires="x14">
        <control shapeId="6146" r:id="rId14" name="MultipleReportManagerInfo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6" r:id="rId14" name="MultipleReportManagerInfotb1"/>
      </mc:Fallback>
    </mc:AlternateContent>
    <mc:AlternateContent xmlns:mc="http://schemas.openxmlformats.org/markup-compatibility/2006">
      <mc:Choice Requires="x14">
        <control shapeId="6145" r:id="rId16" name="ConnectionDescriptorsInfo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5" r:id="rId16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227424B-E5AA-4B69-ABDC-37CBBE71A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5" id="{02A5DB6A-CF60-494D-8D4A-6AF78355FE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6" id="{F0A65A06-D2BD-4463-B36D-EB723EE278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7" id="{F24F507D-BB37-487F-A603-898176B63C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2"/>
  <sheetViews>
    <sheetView showGridLines="0" topLeftCell="A4" zoomScale="85" zoomScaleNormal="85" workbookViewId="0">
      <selection activeCell="F60" sqref="F60"/>
    </sheetView>
  </sheetViews>
  <sheetFormatPr baseColWidth="10" defaultColWidth="11.44140625" defaultRowHeight="13.8" x14ac:dyDescent="0.25"/>
  <cols>
    <col min="1" max="1" width="1.6640625" style="99" customWidth="1"/>
    <col min="2" max="2" width="12.6640625" style="99" customWidth="1"/>
    <col min="3" max="3" width="15.6640625" style="99" customWidth="1"/>
    <col min="4" max="4" width="64.6640625" style="99" customWidth="1"/>
    <col min="5" max="5" width="3.33203125" style="99" customWidth="1"/>
    <col min="6" max="6" width="15.44140625" style="99" bestFit="1" customWidth="1"/>
    <col min="7" max="7" width="3.33203125" style="99" customWidth="1"/>
    <col min="8" max="8" width="30.6640625" style="99" customWidth="1"/>
    <col min="9" max="9" width="3.33203125" style="99" customWidth="1"/>
    <col min="10" max="10" width="14.33203125" style="99" customWidth="1"/>
    <col min="11" max="11" width="3.33203125" style="99" customWidth="1"/>
    <col min="12" max="12" width="36.6640625" style="99" customWidth="1"/>
    <col min="13" max="13" width="2.33203125" style="99" customWidth="1"/>
    <col min="14" max="14" width="8.6640625" style="99" customWidth="1"/>
    <col min="15" max="15" width="90.6640625" style="99" customWidth="1"/>
    <col min="16" max="25" width="11.44140625" style="99"/>
    <col min="26" max="26" width="21.109375" style="99" bestFit="1" customWidth="1"/>
    <col min="27" max="16384" width="11.44140625" style="99"/>
  </cols>
  <sheetData>
    <row r="1" spans="1:26" ht="42" customHeight="1" x14ac:dyDescent="0.25">
      <c r="A1" s="100"/>
      <c r="B1" s="234" t="s">
        <v>37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3">
        <v>1</v>
      </c>
      <c r="Z1" s="33" t="b">
        <v>0</v>
      </c>
    </row>
    <row r="2" spans="1:26" ht="15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6" ht="15.75" customHeight="1" x14ac:dyDescent="0.25">
      <c r="A3" s="100"/>
      <c r="B3" s="36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6" ht="18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26" ht="28.35" customHeight="1" x14ac:dyDescent="0.25">
      <c r="A5" s="100"/>
      <c r="B5" s="235" t="s">
        <v>39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66" t="s">
        <v>62</v>
      </c>
    </row>
    <row r="6" spans="1:26" ht="28.35" customHeight="1" thickBot="1" x14ac:dyDescent="0.3">
      <c r="A6" s="100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67" t="s">
        <v>63</v>
      </c>
    </row>
    <row r="7" spans="1:26" ht="21.9" customHeight="1" x14ac:dyDescent="0.25">
      <c r="A7" s="100"/>
      <c r="B7" s="232" t="s">
        <v>49</v>
      </c>
      <c r="C7" s="61"/>
      <c r="D7" s="61"/>
      <c r="E7" s="61"/>
      <c r="F7" s="61"/>
      <c r="G7" s="61"/>
      <c r="H7" s="61"/>
      <c r="I7" s="61"/>
      <c r="J7" s="61"/>
      <c r="K7" s="61"/>
      <c r="L7" s="62"/>
      <c r="O7" s="207" t="s">
        <v>65</v>
      </c>
    </row>
    <row r="8" spans="1:26" ht="18" customHeight="1" x14ac:dyDescent="0.25">
      <c r="A8" s="100"/>
      <c r="B8" s="221"/>
      <c r="C8" s="46"/>
      <c r="D8" s="46"/>
      <c r="E8" s="46"/>
      <c r="F8" s="46"/>
      <c r="G8" s="46"/>
      <c r="H8" s="46"/>
      <c r="I8" s="46"/>
      <c r="J8" s="46"/>
      <c r="K8" s="46"/>
      <c r="L8" s="106"/>
      <c r="O8" s="207"/>
    </row>
    <row r="9" spans="1:26" ht="17.100000000000001" customHeight="1" x14ac:dyDescent="0.25">
      <c r="A9" s="100"/>
      <c r="B9" s="221"/>
      <c r="C9" s="38"/>
      <c r="D9" s="101"/>
      <c r="E9" s="211" t="s">
        <v>40</v>
      </c>
      <c r="F9" s="212"/>
      <c r="G9" s="213"/>
      <c r="H9" s="37" t="s">
        <v>41</v>
      </c>
      <c r="I9" s="211" t="s">
        <v>42</v>
      </c>
      <c r="J9" s="212"/>
      <c r="K9" s="213"/>
      <c r="L9" s="48" t="s">
        <v>41</v>
      </c>
      <c r="O9" s="207"/>
    </row>
    <row r="10" spans="1:26" ht="5.0999999999999996" customHeight="1" x14ac:dyDescent="0.25">
      <c r="A10" s="100"/>
      <c r="B10" s="221"/>
      <c r="C10" s="208"/>
      <c r="D10" s="46"/>
      <c r="E10" s="107"/>
      <c r="F10" s="107"/>
      <c r="G10" s="107"/>
      <c r="H10" s="42"/>
      <c r="I10" s="107"/>
      <c r="J10" s="107"/>
      <c r="K10" s="107"/>
      <c r="L10" s="106"/>
      <c r="O10" s="207"/>
    </row>
    <row r="11" spans="1:26" ht="15.9" customHeight="1" x14ac:dyDescent="0.25">
      <c r="A11" s="100"/>
      <c r="B11" s="221"/>
      <c r="C11" s="209"/>
      <c r="D11" s="177" t="s">
        <v>44</v>
      </c>
      <c r="E11" s="107"/>
      <c r="F11" s="86">
        <v>10000</v>
      </c>
      <c r="G11" s="107"/>
      <c r="H11" s="181" t="s">
        <v>45</v>
      </c>
      <c r="I11" s="107"/>
      <c r="J11" s="109" t="s">
        <v>46</v>
      </c>
      <c r="K11" s="107"/>
      <c r="L11" s="110" t="s">
        <v>45</v>
      </c>
      <c r="O11" s="207"/>
    </row>
    <row r="12" spans="1:26" ht="5.0999999999999996" customHeight="1" x14ac:dyDescent="0.25">
      <c r="A12" s="100"/>
      <c r="B12" s="221"/>
      <c r="C12" s="210"/>
      <c r="D12" s="179"/>
      <c r="E12" s="102"/>
      <c r="F12" s="102"/>
      <c r="G12" s="102"/>
      <c r="H12" s="101"/>
      <c r="I12" s="102"/>
      <c r="J12" s="102"/>
      <c r="K12" s="102"/>
      <c r="L12" s="180"/>
      <c r="O12" s="207"/>
    </row>
    <row r="13" spans="1:26" ht="5.0999999999999996" customHeight="1" x14ac:dyDescent="0.25">
      <c r="A13" s="100"/>
      <c r="B13" s="221"/>
      <c r="C13" s="209"/>
      <c r="D13" s="46"/>
      <c r="E13" s="107"/>
      <c r="F13" s="107"/>
      <c r="G13" s="107"/>
      <c r="H13" s="104"/>
      <c r="I13" s="107"/>
      <c r="J13" s="107"/>
      <c r="K13" s="107"/>
      <c r="L13" s="106"/>
      <c r="O13" s="207"/>
    </row>
    <row r="14" spans="1:26" ht="15.9" customHeight="1" x14ac:dyDescent="0.25">
      <c r="A14" s="100"/>
      <c r="B14" s="221"/>
      <c r="C14" s="209"/>
      <c r="D14" s="177" t="s">
        <v>47</v>
      </c>
      <c r="E14" s="107"/>
      <c r="F14" s="51">
        <v>10000</v>
      </c>
      <c r="G14" s="107"/>
      <c r="H14" s="181" t="s">
        <v>45</v>
      </c>
      <c r="I14" s="107"/>
      <c r="J14" s="109" t="s">
        <v>46</v>
      </c>
      <c r="K14" s="107"/>
      <c r="L14" s="110" t="s">
        <v>45</v>
      </c>
      <c r="O14" s="207"/>
    </row>
    <row r="15" spans="1:26" ht="5.0999999999999996" customHeight="1" x14ac:dyDescent="0.25">
      <c r="A15" s="100"/>
      <c r="B15" s="221"/>
      <c r="C15" s="210"/>
      <c r="D15" s="179"/>
      <c r="E15" s="102"/>
      <c r="F15" s="102"/>
      <c r="G15" s="102"/>
      <c r="H15" s="101"/>
      <c r="I15" s="102"/>
      <c r="J15" s="102"/>
      <c r="K15" s="102"/>
      <c r="L15" s="180"/>
      <c r="O15" s="207"/>
    </row>
    <row r="16" spans="1:26" ht="11.1" customHeight="1" x14ac:dyDescent="0.25">
      <c r="A16" s="100"/>
      <c r="B16" s="221"/>
      <c r="C16" s="209"/>
      <c r="D16" s="233" t="s">
        <v>48</v>
      </c>
      <c r="E16" s="107"/>
      <c r="F16" s="107"/>
      <c r="G16" s="107"/>
      <c r="H16" s="104"/>
      <c r="I16" s="107"/>
      <c r="J16" s="107"/>
      <c r="K16" s="107"/>
      <c r="L16" s="106"/>
      <c r="O16" s="207"/>
    </row>
    <row r="17" spans="1:15" ht="11.1" customHeight="1" x14ac:dyDescent="0.25">
      <c r="A17" s="100"/>
      <c r="B17" s="221"/>
      <c r="C17" s="209"/>
      <c r="D17" s="233"/>
      <c r="E17" s="107"/>
      <c r="F17" s="107"/>
      <c r="G17" s="107"/>
      <c r="H17" s="104"/>
      <c r="I17" s="107"/>
      <c r="J17" s="107"/>
      <c r="K17" s="107"/>
      <c r="L17" s="106"/>
      <c r="O17" s="207"/>
    </row>
    <row r="18" spans="1:15" ht="15.9" customHeight="1" x14ac:dyDescent="0.25">
      <c r="A18" s="100"/>
      <c r="B18" s="221"/>
      <c r="C18" s="176"/>
      <c r="D18" s="55" t="str">
        <f>IF(Y1=2, "Nivel 1", IF(Z1=TRUE, IF(A26-1=0, "Nivel inferior","Nivel inferior -"&amp;(A26-1)), "Nivel 1"))</f>
        <v>Nivel 1</v>
      </c>
      <c r="E18" s="107"/>
      <c r="F18" s="51">
        <v>10000</v>
      </c>
      <c r="G18" s="107"/>
      <c r="H18" s="181" t="s">
        <v>45</v>
      </c>
      <c r="I18" s="107"/>
      <c r="J18" s="109" t="s">
        <v>46</v>
      </c>
      <c r="K18" s="107"/>
      <c r="L18" s="110" t="s">
        <v>45</v>
      </c>
      <c r="O18" s="207"/>
    </row>
    <row r="19" spans="1:15" ht="5.0999999999999996" customHeight="1" x14ac:dyDescent="0.25">
      <c r="A19" s="100"/>
      <c r="B19" s="221"/>
      <c r="C19" s="176"/>
      <c r="D19" s="179"/>
      <c r="E19" s="102"/>
      <c r="F19" s="102"/>
      <c r="G19" s="102"/>
      <c r="H19" s="101"/>
      <c r="I19" s="102"/>
      <c r="J19" s="102"/>
      <c r="K19" s="102"/>
      <c r="L19" s="180"/>
      <c r="O19" s="207"/>
    </row>
    <row r="20" spans="1:15" ht="5.0999999999999996" customHeight="1" x14ac:dyDescent="0.3">
      <c r="A20" s="100"/>
      <c r="B20" s="221"/>
      <c r="C20" s="176"/>
      <c r="D20" s="46"/>
      <c r="E20" s="107"/>
      <c r="F20" s="107"/>
      <c r="G20" s="107"/>
      <c r="H20" s="104"/>
      <c r="I20" s="107"/>
      <c r="J20" s="107"/>
      <c r="K20" s="107"/>
      <c r="L20" s="106"/>
      <c r="O20" s="68"/>
    </row>
    <row r="21" spans="1:15" ht="15.9" customHeight="1" x14ac:dyDescent="0.25">
      <c r="A21" s="100"/>
      <c r="B21" s="221"/>
      <c r="C21" s="176"/>
      <c r="D21" s="56" t="str">
        <f>IF(Y1=2, "Nivel 2", IF(Z1=TRUE, IF(A26-2=0, "Nivel inferior","Nivel inferior -"&amp;(A26-2)), "Nivel 2"))</f>
        <v>Nivel 2</v>
      </c>
      <c r="E21" s="107"/>
      <c r="F21" s="51">
        <v>10000</v>
      </c>
      <c r="G21" s="107"/>
      <c r="H21" s="181" t="s">
        <v>45</v>
      </c>
      <c r="I21" s="107"/>
      <c r="J21" s="109" t="s">
        <v>46</v>
      </c>
      <c r="K21" s="107"/>
      <c r="L21" s="110" t="s">
        <v>45</v>
      </c>
      <c r="O21" s="69" t="s">
        <v>66</v>
      </c>
    </row>
    <row r="22" spans="1:15" ht="5.0999999999999996" customHeight="1" x14ac:dyDescent="0.25">
      <c r="A22" s="100"/>
      <c r="B22" s="221"/>
      <c r="C22" s="176"/>
      <c r="D22" s="179"/>
      <c r="E22" s="102"/>
      <c r="F22" s="102"/>
      <c r="G22" s="102"/>
      <c r="H22" s="101"/>
      <c r="I22" s="102"/>
      <c r="J22" s="102"/>
      <c r="K22" s="102"/>
      <c r="L22" s="180"/>
      <c r="O22" s="207" t="s">
        <v>67</v>
      </c>
    </row>
    <row r="23" spans="1:15" ht="5.0999999999999996" customHeight="1" x14ac:dyDescent="0.25">
      <c r="A23" s="100"/>
      <c r="B23" s="221"/>
      <c r="C23" s="176"/>
      <c r="D23" s="46"/>
      <c r="E23" s="107"/>
      <c r="F23" s="107"/>
      <c r="G23" s="107"/>
      <c r="H23" s="104"/>
      <c r="I23" s="107"/>
      <c r="J23" s="107"/>
      <c r="K23" s="107"/>
      <c r="L23" s="106"/>
      <c r="O23" s="207"/>
    </row>
    <row r="24" spans="1:15" ht="15.9" customHeight="1" x14ac:dyDescent="0.25">
      <c r="A24" s="100"/>
      <c r="B24" s="221"/>
      <c r="C24" s="176"/>
      <c r="D24" s="57" t="str">
        <f>IF(Y1=2, "Nivel 3", IF(Z1=TRUE, IF(A26-3=0, "Nivel inferior","Nivel inferior -"&amp;(A26-3)), "Nivel 3"))</f>
        <v>Nivel 3</v>
      </c>
      <c r="E24" s="107"/>
      <c r="F24" s="51">
        <v>10000</v>
      </c>
      <c r="G24" s="107"/>
      <c r="H24" s="181" t="s">
        <v>45</v>
      </c>
      <c r="I24" s="107"/>
      <c r="J24" s="109" t="s">
        <v>46</v>
      </c>
      <c r="K24" s="107"/>
      <c r="L24" s="110" t="s">
        <v>45</v>
      </c>
      <c r="O24" s="207"/>
    </row>
    <row r="25" spans="1:15" ht="5.0999999999999996" customHeight="1" x14ac:dyDescent="0.25">
      <c r="A25" s="100"/>
      <c r="B25" s="221"/>
      <c r="C25" s="176"/>
      <c r="D25" s="179"/>
      <c r="E25" s="102"/>
      <c r="F25" s="102"/>
      <c r="G25" s="102"/>
      <c r="H25" s="101"/>
      <c r="I25" s="102"/>
      <c r="J25" s="102"/>
      <c r="K25" s="102"/>
      <c r="L25" s="180"/>
      <c r="O25" s="207"/>
    </row>
    <row r="26" spans="1:15" ht="21.9" customHeight="1" x14ac:dyDescent="0.25">
      <c r="A26" s="100">
        <v>3</v>
      </c>
      <c r="B26" s="221"/>
      <c r="C26" s="176"/>
      <c r="D26" s="46"/>
      <c r="E26" s="46"/>
      <c r="F26" s="46"/>
      <c r="G26" s="46"/>
      <c r="H26" s="46"/>
      <c r="I26" s="46"/>
      <c r="J26" s="46"/>
      <c r="K26" s="46"/>
      <c r="L26" s="106"/>
      <c r="O26" s="207"/>
    </row>
    <row r="27" spans="1:15" ht="5.0999999999999996" customHeight="1" thickBot="1" x14ac:dyDescent="0.3">
      <c r="A27" s="100"/>
      <c r="B27" s="231"/>
      <c r="C27" s="182"/>
      <c r="D27" s="59"/>
      <c r="E27" s="59"/>
      <c r="F27" s="59"/>
      <c r="G27" s="59"/>
      <c r="H27" s="59"/>
      <c r="I27" s="59"/>
      <c r="J27" s="59"/>
      <c r="K27" s="59"/>
      <c r="L27" s="60"/>
      <c r="O27" s="207"/>
    </row>
    <row r="28" spans="1:15" ht="21.9" customHeight="1" x14ac:dyDescent="0.25">
      <c r="A28" s="100"/>
      <c r="B28" s="220" t="s">
        <v>43</v>
      </c>
      <c r="C28" s="46"/>
      <c r="D28" s="46"/>
      <c r="E28" s="46"/>
      <c r="F28" s="46"/>
      <c r="G28" s="46"/>
      <c r="H28" s="46"/>
      <c r="I28" s="46"/>
      <c r="J28" s="46"/>
      <c r="K28" s="46"/>
      <c r="L28" s="106"/>
      <c r="O28" s="207"/>
    </row>
    <row r="29" spans="1:15" ht="18" customHeight="1" x14ac:dyDescent="0.25">
      <c r="A29" s="100"/>
      <c r="B29" s="221"/>
      <c r="C29" s="46"/>
      <c r="D29" s="46"/>
      <c r="E29" s="46"/>
      <c r="F29" s="46"/>
      <c r="G29" s="46"/>
      <c r="H29" s="46"/>
      <c r="I29" s="46"/>
      <c r="J29" s="46"/>
      <c r="K29" s="46"/>
      <c r="L29" s="106"/>
      <c r="O29" s="207"/>
    </row>
    <row r="30" spans="1:15" ht="17.100000000000001" customHeight="1" x14ac:dyDescent="0.3">
      <c r="A30" s="100"/>
      <c r="B30" s="221"/>
      <c r="C30" s="38"/>
      <c r="D30" s="101"/>
      <c r="E30" s="211" t="s">
        <v>40</v>
      </c>
      <c r="F30" s="212"/>
      <c r="G30" s="213"/>
      <c r="H30" s="37" t="s">
        <v>41</v>
      </c>
      <c r="I30" s="211" t="s">
        <v>42</v>
      </c>
      <c r="J30" s="212"/>
      <c r="K30" s="213"/>
      <c r="L30" s="48" t="s">
        <v>41</v>
      </c>
      <c r="O30" s="68"/>
    </row>
    <row r="31" spans="1:15" ht="5.0999999999999996" customHeight="1" x14ac:dyDescent="0.3">
      <c r="A31" s="100"/>
      <c r="B31" s="221"/>
      <c r="C31" s="208"/>
      <c r="D31" s="46"/>
      <c r="E31" s="107"/>
      <c r="F31" s="107"/>
      <c r="G31" s="107"/>
      <c r="H31" s="42"/>
      <c r="I31" s="107"/>
      <c r="J31" s="107"/>
      <c r="K31" s="107"/>
      <c r="L31" s="106"/>
      <c r="O31" s="68"/>
    </row>
    <row r="32" spans="1:15" ht="15.9" customHeight="1" x14ac:dyDescent="0.25">
      <c r="A32" s="100"/>
      <c r="B32" s="221"/>
      <c r="C32" s="209"/>
      <c r="D32" s="177" t="s">
        <v>44</v>
      </c>
      <c r="E32" s="107"/>
      <c r="F32" s="192">
        <v>10000</v>
      </c>
      <c r="G32" s="107"/>
      <c r="H32" s="181" t="s">
        <v>45</v>
      </c>
      <c r="I32" s="107"/>
      <c r="J32" s="109" t="s">
        <v>46</v>
      </c>
      <c r="K32" s="107"/>
      <c r="L32" s="110" t="s">
        <v>45</v>
      </c>
      <c r="O32" s="70" t="s">
        <v>64</v>
      </c>
    </row>
    <row r="33" spans="1:15" ht="5.0999999999999996" customHeight="1" x14ac:dyDescent="0.25">
      <c r="A33" s="100"/>
      <c r="B33" s="221"/>
      <c r="C33" s="210"/>
      <c r="D33" s="179"/>
      <c r="E33" s="102"/>
      <c r="F33" s="102"/>
      <c r="G33" s="102"/>
      <c r="H33" s="101"/>
      <c r="I33" s="102"/>
      <c r="J33" s="102"/>
      <c r="K33" s="102"/>
      <c r="L33" s="180"/>
      <c r="O33" s="207" t="s">
        <v>68</v>
      </c>
    </row>
    <row r="34" spans="1:15" ht="5.0999999999999996" customHeight="1" x14ac:dyDescent="0.25">
      <c r="A34" s="100"/>
      <c r="B34" s="221"/>
      <c r="C34" s="209"/>
      <c r="D34" s="46"/>
      <c r="E34" s="107"/>
      <c r="F34" s="107"/>
      <c r="G34" s="107"/>
      <c r="H34" s="104"/>
      <c r="I34" s="107"/>
      <c r="J34" s="107"/>
      <c r="K34" s="107"/>
      <c r="L34" s="106"/>
      <c r="O34" s="207"/>
    </row>
    <row r="35" spans="1:15" ht="15.9" customHeight="1" x14ac:dyDescent="0.25">
      <c r="A35" s="100"/>
      <c r="B35" s="221"/>
      <c r="C35" s="209"/>
      <c r="D35" s="177" t="s">
        <v>47</v>
      </c>
      <c r="E35" s="107"/>
      <c r="F35" s="51">
        <v>10000</v>
      </c>
      <c r="G35" s="107"/>
      <c r="H35" s="181" t="s">
        <v>45</v>
      </c>
      <c r="I35" s="107"/>
      <c r="J35" s="109" t="s">
        <v>46</v>
      </c>
      <c r="K35" s="107"/>
      <c r="L35" s="110" t="s">
        <v>45</v>
      </c>
      <c r="O35" s="207"/>
    </row>
    <row r="36" spans="1:15" ht="5.0999999999999996" customHeight="1" x14ac:dyDescent="0.25">
      <c r="A36" s="100"/>
      <c r="B36" s="221"/>
      <c r="C36" s="210"/>
      <c r="D36" s="179"/>
      <c r="E36" s="102"/>
      <c r="F36" s="102"/>
      <c r="G36" s="102"/>
      <c r="H36" s="101"/>
      <c r="I36" s="102"/>
      <c r="J36" s="102"/>
      <c r="K36" s="102"/>
      <c r="L36" s="180"/>
      <c r="O36" s="207"/>
    </row>
    <row r="37" spans="1:15" ht="11.1" customHeight="1" x14ac:dyDescent="0.25">
      <c r="A37" s="100"/>
      <c r="B37" s="221"/>
      <c r="C37" s="209"/>
      <c r="D37" s="233" t="s">
        <v>48</v>
      </c>
      <c r="E37" s="107"/>
      <c r="F37" s="107"/>
      <c r="G37" s="107"/>
      <c r="H37" s="104"/>
      <c r="I37" s="107"/>
      <c r="J37" s="107"/>
      <c r="K37" s="107"/>
      <c r="L37" s="106"/>
      <c r="O37" s="207"/>
    </row>
    <row r="38" spans="1:15" ht="11.1" customHeight="1" x14ac:dyDescent="0.25">
      <c r="A38" s="100"/>
      <c r="B38" s="221"/>
      <c r="C38" s="209"/>
      <c r="D38" s="233"/>
      <c r="E38" s="107"/>
      <c r="F38" s="107"/>
      <c r="G38" s="107"/>
      <c r="H38" s="104"/>
      <c r="I38" s="107"/>
      <c r="J38" s="107"/>
      <c r="K38" s="107"/>
      <c r="L38" s="106"/>
      <c r="O38" s="207"/>
    </row>
    <row r="39" spans="1:15" ht="15.9" customHeight="1" x14ac:dyDescent="0.25">
      <c r="A39" s="100"/>
      <c r="B39" s="221"/>
      <c r="C39" s="176"/>
      <c r="D39" s="55" t="str">
        <f>IF(Y1=2, "Nivel 1", IF(Z1=TRUE, IF(A47-1=0, "Nivel inferior","Nivel inferior -"&amp;(A47-1)), "Nivel 1"))</f>
        <v>Nivel 1</v>
      </c>
      <c r="E39" s="107"/>
      <c r="F39" s="51">
        <v>10000</v>
      </c>
      <c r="G39" s="107"/>
      <c r="H39" s="181" t="s">
        <v>45</v>
      </c>
      <c r="I39" s="107"/>
      <c r="J39" s="109" t="s">
        <v>46</v>
      </c>
      <c r="K39" s="107"/>
      <c r="L39" s="110" t="s">
        <v>45</v>
      </c>
      <c r="O39" s="207"/>
    </row>
    <row r="40" spans="1:15" ht="5.0999999999999996" customHeight="1" x14ac:dyDescent="0.3">
      <c r="A40" s="100"/>
      <c r="B40" s="221"/>
      <c r="C40" s="176"/>
      <c r="D40" s="179"/>
      <c r="E40" s="102"/>
      <c r="F40" s="102"/>
      <c r="G40" s="102"/>
      <c r="H40" s="101"/>
      <c r="I40" s="102"/>
      <c r="J40" s="102"/>
      <c r="K40" s="102"/>
      <c r="L40" s="180"/>
      <c r="O40" s="71"/>
    </row>
    <row r="41" spans="1:15" ht="5.0999999999999996" customHeight="1" x14ac:dyDescent="0.25">
      <c r="A41" s="100"/>
      <c r="B41" s="221"/>
      <c r="C41" s="176"/>
      <c r="D41" s="46"/>
      <c r="E41" s="107"/>
      <c r="F41" s="107"/>
      <c r="G41" s="107"/>
      <c r="H41" s="104"/>
      <c r="I41" s="107"/>
      <c r="J41" s="107"/>
      <c r="K41" s="107"/>
      <c r="L41" s="106"/>
    </row>
    <row r="42" spans="1:15" ht="15.9" customHeight="1" x14ac:dyDescent="0.25">
      <c r="A42" s="100"/>
      <c r="B42" s="221"/>
      <c r="C42" s="176"/>
      <c r="D42" s="56" t="str">
        <f>IF(Y1=2, "Nivel 2", IF(Z1=TRUE, IF(A47-2=0, "Nivel inferior","Nivel inferior -"&amp;(A47-2)), "Nivel 2"))</f>
        <v>Nivel 2</v>
      </c>
      <c r="E42" s="107"/>
      <c r="F42" s="51">
        <v>10000</v>
      </c>
      <c r="G42" s="107"/>
      <c r="H42" s="181" t="s">
        <v>45</v>
      </c>
      <c r="I42" s="107"/>
      <c r="J42" s="109" t="s">
        <v>46</v>
      </c>
      <c r="K42" s="107"/>
      <c r="L42" s="110" t="s">
        <v>45</v>
      </c>
    </row>
    <row r="43" spans="1:15" ht="5.0999999999999996" customHeight="1" x14ac:dyDescent="0.25">
      <c r="A43" s="100"/>
      <c r="B43" s="221"/>
      <c r="C43" s="176"/>
      <c r="D43" s="179"/>
      <c r="E43" s="102"/>
      <c r="F43" s="102"/>
      <c r="G43" s="102"/>
      <c r="H43" s="101"/>
      <c r="I43" s="102"/>
      <c r="J43" s="102"/>
      <c r="K43" s="102"/>
      <c r="L43" s="180"/>
    </row>
    <row r="44" spans="1:15" ht="5.0999999999999996" customHeight="1" x14ac:dyDescent="0.25">
      <c r="A44" s="100"/>
      <c r="B44" s="221"/>
      <c r="C44" s="176"/>
      <c r="D44" s="46"/>
      <c r="E44" s="107"/>
      <c r="F44" s="107"/>
      <c r="G44" s="107"/>
      <c r="H44" s="104"/>
      <c r="I44" s="107"/>
      <c r="J44" s="107"/>
      <c r="K44" s="107"/>
      <c r="L44" s="106"/>
    </row>
    <row r="45" spans="1:15" ht="15.9" customHeight="1" x14ac:dyDescent="0.25">
      <c r="A45" s="100"/>
      <c r="B45" s="221"/>
      <c r="C45" s="176"/>
      <c r="D45" s="57" t="str">
        <f>IF(Y1=2, "Nivel 3", IF(Z1=TRUE, IF(A47-3=0, "Nivel inferior","Nivel inferior -"&amp;(A47-3)), "Nivel 3"))</f>
        <v>Nivel 3</v>
      </c>
      <c r="E45" s="107"/>
      <c r="F45" s="51">
        <v>10000</v>
      </c>
      <c r="G45" s="107"/>
      <c r="H45" s="181" t="s">
        <v>45</v>
      </c>
      <c r="I45" s="107"/>
      <c r="J45" s="109" t="s">
        <v>46</v>
      </c>
      <c r="K45" s="107"/>
      <c r="L45" s="110" t="s">
        <v>45</v>
      </c>
    </row>
    <row r="46" spans="1:15" ht="5.0999999999999996" customHeight="1" x14ac:dyDescent="0.25">
      <c r="A46" s="100"/>
      <c r="B46" s="221"/>
      <c r="C46" s="176"/>
      <c r="D46" s="179"/>
      <c r="E46" s="102"/>
      <c r="F46" s="102"/>
      <c r="G46" s="102"/>
      <c r="H46" s="101"/>
      <c r="I46" s="102"/>
      <c r="J46" s="102"/>
      <c r="K46" s="102"/>
      <c r="L46" s="180"/>
    </row>
    <row r="47" spans="1:15" ht="21.9" customHeight="1" x14ac:dyDescent="0.25">
      <c r="A47" s="100">
        <v>3</v>
      </c>
      <c r="B47" s="221"/>
      <c r="C47" s="176"/>
      <c r="D47" s="46"/>
      <c r="E47" s="46"/>
      <c r="F47" s="46"/>
      <c r="G47" s="46"/>
      <c r="H47" s="46"/>
      <c r="I47" s="46"/>
      <c r="J47" s="46"/>
      <c r="K47" s="46"/>
      <c r="L47" s="106"/>
    </row>
    <row r="48" spans="1:15" ht="5.0999999999999996" customHeight="1" thickBot="1" x14ac:dyDescent="0.3">
      <c r="A48" s="100"/>
      <c r="B48" s="231"/>
      <c r="C48" s="182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ht="24.6" customHeight="1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" customHeight="1" thickBot="1" x14ac:dyDescent="0.3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1:12" ht="28.35" customHeight="1" x14ac:dyDescent="0.25">
      <c r="A52" s="100"/>
      <c r="B52" s="214" t="s">
        <v>50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100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100"/>
      <c r="B54" s="232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100"/>
      <c r="B55" s="221"/>
      <c r="C55" s="38"/>
      <c r="D55" s="101"/>
      <c r="E55" s="211" t="s">
        <v>40</v>
      </c>
      <c r="F55" s="212"/>
      <c r="G55" s="213"/>
      <c r="H55" s="37" t="s">
        <v>41</v>
      </c>
      <c r="I55" s="211" t="s">
        <v>42</v>
      </c>
      <c r="J55" s="212"/>
      <c r="K55" s="213"/>
      <c r="L55" s="48" t="s">
        <v>41</v>
      </c>
    </row>
    <row r="56" spans="1:12" ht="5.0999999999999996" customHeight="1" x14ac:dyDescent="0.25">
      <c r="A56" s="100"/>
      <c r="B56" s="221"/>
      <c r="C56" s="208"/>
      <c r="D56" s="46"/>
      <c r="E56" s="107"/>
      <c r="F56" s="107"/>
      <c r="G56" s="107"/>
      <c r="H56" s="42"/>
      <c r="I56" s="107"/>
      <c r="J56" s="107"/>
      <c r="K56" s="107"/>
      <c r="L56" s="106"/>
    </row>
    <row r="57" spans="1:12" ht="15.9" customHeight="1" x14ac:dyDescent="0.25">
      <c r="A57" s="100"/>
      <c r="B57" s="221"/>
      <c r="C57" s="209"/>
      <c r="D57" s="177" t="s">
        <v>51</v>
      </c>
      <c r="E57" s="107"/>
      <c r="F57" s="51">
        <v>10000</v>
      </c>
      <c r="G57" s="107"/>
      <c r="H57" s="181" t="s">
        <v>45</v>
      </c>
      <c r="I57" s="107"/>
      <c r="J57" s="109" t="s">
        <v>46</v>
      </c>
      <c r="K57" s="107"/>
      <c r="L57" s="110" t="s">
        <v>45</v>
      </c>
    </row>
    <row r="58" spans="1:12" ht="5.0999999999999996" customHeight="1" x14ac:dyDescent="0.25">
      <c r="A58" s="100"/>
      <c r="B58" s="221"/>
      <c r="C58" s="210"/>
      <c r="D58" s="179"/>
      <c r="E58" s="102"/>
      <c r="F58" s="102"/>
      <c r="G58" s="102"/>
      <c r="H58" s="101"/>
      <c r="I58" s="102"/>
      <c r="J58" s="102"/>
      <c r="K58" s="102"/>
      <c r="L58" s="180"/>
    </row>
    <row r="59" spans="1:12" ht="5.0999999999999996" customHeight="1" x14ac:dyDescent="0.25">
      <c r="A59" s="100"/>
      <c r="B59" s="221"/>
      <c r="C59" s="209"/>
      <c r="D59" s="46"/>
      <c r="E59" s="107"/>
      <c r="F59" s="107"/>
      <c r="G59" s="107"/>
      <c r="H59" s="104"/>
      <c r="I59" s="107"/>
      <c r="J59" s="107"/>
      <c r="K59" s="107"/>
      <c r="L59" s="106"/>
    </row>
    <row r="60" spans="1:12" ht="15.9" customHeight="1" x14ac:dyDescent="0.25">
      <c r="A60" s="100"/>
      <c r="B60" s="221"/>
      <c r="C60" s="209"/>
      <c r="D60" s="177" t="s">
        <v>52</v>
      </c>
      <c r="E60" s="107"/>
      <c r="F60" s="86">
        <v>654654</v>
      </c>
      <c r="G60" s="107"/>
      <c r="H60" s="181" t="s">
        <v>45</v>
      </c>
      <c r="I60" s="107"/>
      <c r="J60" s="109" t="s">
        <v>46</v>
      </c>
      <c r="K60" s="107"/>
      <c r="L60" s="110" t="s">
        <v>45</v>
      </c>
    </row>
    <row r="61" spans="1:12" ht="5.0999999999999996" customHeight="1" x14ac:dyDescent="0.25">
      <c r="A61" s="100"/>
      <c r="B61" s="221"/>
      <c r="C61" s="210"/>
      <c r="D61" s="179"/>
      <c r="E61" s="102"/>
      <c r="F61" s="102"/>
      <c r="G61" s="102"/>
      <c r="H61" s="101"/>
      <c r="I61" s="102"/>
      <c r="J61" s="102"/>
      <c r="K61" s="102"/>
      <c r="L61" s="180"/>
    </row>
    <row r="62" spans="1:12" ht="5.0999999999999996" customHeight="1" x14ac:dyDescent="0.25">
      <c r="A62" s="100"/>
      <c r="B62" s="221"/>
      <c r="C62" s="209"/>
      <c r="D62" s="46"/>
      <c r="E62" s="107"/>
      <c r="F62" s="107"/>
      <c r="G62" s="107"/>
      <c r="H62" s="104"/>
      <c r="I62" s="107"/>
      <c r="J62" s="107"/>
      <c r="K62" s="107"/>
      <c r="L62" s="106"/>
    </row>
    <row r="63" spans="1:12" ht="15.9" customHeight="1" x14ac:dyDescent="0.25">
      <c r="A63" s="100"/>
      <c r="B63" s="221"/>
      <c r="C63" s="209"/>
      <c r="D63" s="177" t="s">
        <v>53</v>
      </c>
      <c r="E63" s="107"/>
      <c r="F63" s="51">
        <v>10000</v>
      </c>
      <c r="G63" s="107"/>
      <c r="H63" s="181" t="s">
        <v>45</v>
      </c>
      <c r="I63" s="107"/>
      <c r="J63" s="109" t="s">
        <v>46</v>
      </c>
      <c r="K63" s="107"/>
      <c r="L63" s="110" t="s">
        <v>45</v>
      </c>
    </row>
    <row r="64" spans="1:12" ht="5.0999999999999996" customHeight="1" x14ac:dyDescent="0.25">
      <c r="A64" s="100"/>
      <c r="B64" s="221"/>
      <c r="C64" s="210"/>
      <c r="D64" s="179"/>
      <c r="E64" s="102"/>
      <c r="F64" s="102"/>
      <c r="G64" s="102"/>
      <c r="H64" s="101"/>
      <c r="I64" s="102"/>
      <c r="J64" s="102"/>
      <c r="K64" s="102"/>
      <c r="L64" s="180"/>
    </row>
    <row r="65" spans="1:12" ht="5.0999999999999996" customHeight="1" x14ac:dyDescent="0.25">
      <c r="A65" s="100"/>
      <c r="B65" s="221"/>
      <c r="C65" s="209"/>
      <c r="D65" s="46"/>
      <c r="E65" s="107"/>
      <c r="F65" s="107"/>
      <c r="G65" s="107"/>
      <c r="H65" s="104"/>
      <c r="I65" s="107"/>
      <c r="J65" s="107"/>
      <c r="K65" s="107"/>
      <c r="L65" s="106"/>
    </row>
    <row r="66" spans="1:12" ht="15.9" customHeight="1" x14ac:dyDescent="0.25">
      <c r="A66" s="100"/>
      <c r="B66" s="221"/>
      <c r="C66" s="209"/>
      <c r="D66" s="177" t="s">
        <v>54</v>
      </c>
      <c r="E66" s="107"/>
      <c r="F66" s="192">
        <v>10000</v>
      </c>
      <c r="G66" s="107"/>
      <c r="H66" s="181" t="s">
        <v>45</v>
      </c>
      <c r="I66" s="107"/>
      <c r="J66" s="109" t="s">
        <v>46</v>
      </c>
      <c r="K66" s="107"/>
      <c r="L66" s="110" t="s">
        <v>45</v>
      </c>
    </row>
    <row r="67" spans="1:12" ht="5.0999999999999996" customHeight="1" x14ac:dyDescent="0.25">
      <c r="A67" s="100"/>
      <c r="B67" s="221"/>
      <c r="C67" s="210"/>
      <c r="D67" s="179"/>
      <c r="E67" s="102"/>
      <c r="F67" s="102"/>
      <c r="G67" s="102"/>
      <c r="H67" s="101"/>
      <c r="I67" s="102"/>
      <c r="J67" s="102"/>
      <c r="K67" s="102"/>
      <c r="L67" s="180"/>
    </row>
    <row r="68" spans="1:12" ht="5.0999999999999996" customHeight="1" x14ac:dyDescent="0.25">
      <c r="A68" s="100"/>
      <c r="B68" s="221"/>
      <c r="C68" s="209"/>
      <c r="D68" s="46"/>
      <c r="E68" s="107"/>
      <c r="F68" s="107"/>
      <c r="G68" s="107"/>
      <c r="H68" s="104"/>
      <c r="I68" s="107"/>
      <c r="J68" s="107"/>
      <c r="K68" s="107"/>
      <c r="L68" s="106"/>
    </row>
    <row r="69" spans="1:12" ht="15.9" customHeight="1" x14ac:dyDescent="0.25">
      <c r="A69" s="100"/>
      <c r="B69" s="221"/>
      <c r="C69" s="209"/>
      <c r="D69" s="177" t="s">
        <v>55</v>
      </c>
      <c r="E69" s="107"/>
      <c r="F69" s="87">
        <v>10000</v>
      </c>
      <c r="G69" s="107"/>
      <c r="H69" s="181" t="s">
        <v>84</v>
      </c>
      <c r="I69" s="107"/>
      <c r="J69" s="109" t="s">
        <v>46</v>
      </c>
      <c r="K69" s="107"/>
      <c r="L69" s="110" t="s">
        <v>69</v>
      </c>
    </row>
    <row r="70" spans="1:12" ht="5.0999999999999996" customHeight="1" x14ac:dyDescent="0.25">
      <c r="A70" s="100"/>
      <c r="B70" s="221"/>
      <c r="C70" s="210"/>
      <c r="D70" s="179"/>
      <c r="E70" s="102"/>
      <c r="F70" s="102"/>
      <c r="G70" s="102"/>
      <c r="H70" s="101"/>
      <c r="I70" s="102"/>
      <c r="J70" s="102"/>
      <c r="K70" s="102"/>
      <c r="L70" s="180"/>
    </row>
    <row r="71" spans="1:12" ht="5.0999999999999996" customHeight="1" x14ac:dyDescent="0.25">
      <c r="A71" s="100"/>
      <c r="B71" s="221"/>
      <c r="C71" s="209"/>
      <c r="D71" s="46"/>
      <c r="E71" s="107"/>
      <c r="F71" s="107"/>
      <c r="G71" s="107"/>
      <c r="H71" s="104"/>
      <c r="I71" s="107"/>
      <c r="J71" s="107"/>
      <c r="K71" s="107"/>
      <c r="L71" s="106"/>
    </row>
    <row r="72" spans="1:12" ht="15.9" customHeight="1" x14ac:dyDescent="0.25">
      <c r="A72" s="100"/>
      <c r="B72" s="221"/>
      <c r="C72" s="209"/>
      <c r="D72" s="177" t="s">
        <v>56</v>
      </c>
      <c r="E72" s="107"/>
      <c r="F72" s="107"/>
      <c r="G72" s="107"/>
      <c r="H72" s="104"/>
      <c r="I72" s="107"/>
      <c r="J72" s="107"/>
      <c r="K72" s="107"/>
      <c r="L72" s="106"/>
    </row>
    <row r="73" spans="1:12" ht="5.0999999999999996" customHeight="1" x14ac:dyDescent="0.25">
      <c r="A73" s="100"/>
      <c r="B73" s="221"/>
      <c r="C73" s="176"/>
      <c r="D73" s="177"/>
      <c r="E73" s="107"/>
      <c r="F73" s="107"/>
      <c r="G73" s="107"/>
      <c r="H73" s="104"/>
      <c r="I73" s="107"/>
      <c r="J73" s="107"/>
      <c r="K73" s="107"/>
      <c r="L73" s="106"/>
    </row>
    <row r="74" spans="1:12" ht="15.9" customHeight="1" x14ac:dyDescent="0.25">
      <c r="A74" s="100"/>
      <c r="B74" s="221"/>
      <c r="C74" s="176"/>
      <c r="D74" s="113" t="s">
        <v>70</v>
      </c>
      <c r="E74" s="107"/>
      <c r="F74" s="154" t="s">
        <v>76</v>
      </c>
      <c r="G74" s="107"/>
      <c r="H74" s="181" t="s">
        <v>77</v>
      </c>
      <c r="I74" s="107"/>
      <c r="J74" s="109" t="s">
        <v>46</v>
      </c>
      <c r="K74" s="107"/>
      <c r="L74" s="110" t="s">
        <v>69</v>
      </c>
    </row>
    <row r="75" spans="1:12" ht="5.0999999999999996" customHeight="1" x14ac:dyDescent="0.25">
      <c r="A75" s="100"/>
      <c r="B75" s="221"/>
      <c r="C75" s="176"/>
      <c r="D75" s="112"/>
      <c r="E75" s="102"/>
      <c r="F75" s="120"/>
      <c r="G75" s="102"/>
      <c r="H75" s="101"/>
      <c r="I75" s="102"/>
      <c r="J75" s="102"/>
      <c r="K75" s="102"/>
      <c r="L75" s="180"/>
    </row>
    <row r="76" spans="1:12" ht="5.0999999999999996" customHeight="1" x14ac:dyDescent="0.25">
      <c r="A76" s="100"/>
      <c r="B76" s="221"/>
      <c r="C76" s="176"/>
      <c r="D76" s="177"/>
      <c r="E76" s="107"/>
      <c r="F76" s="121"/>
      <c r="G76" s="107"/>
      <c r="H76" s="104"/>
      <c r="I76" s="107"/>
      <c r="J76" s="107"/>
      <c r="K76" s="107"/>
      <c r="L76" s="106"/>
    </row>
    <row r="77" spans="1:12" ht="15.9" customHeight="1" x14ac:dyDescent="0.25">
      <c r="A77" s="100"/>
      <c r="B77" s="221"/>
      <c r="C77" s="176"/>
      <c r="D77" s="113" t="s">
        <v>71</v>
      </c>
      <c r="E77" s="107"/>
      <c r="F77" s="154" t="s">
        <v>76</v>
      </c>
      <c r="G77" s="107"/>
      <c r="H77" s="181" t="s">
        <v>77</v>
      </c>
      <c r="I77" s="107"/>
      <c r="J77" s="109" t="s">
        <v>46</v>
      </c>
      <c r="K77" s="107"/>
      <c r="L77" s="110" t="s">
        <v>69</v>
      </c>
    </row>
    <row r="78" spans="1:12" ht="5.0999999999999996" customHeight="1" x14ac:dyDescent="0.25">
      <c r="A78" s="100"/>
      <c r="B78" s="221"/>
      <c r="C78" s="176"/>
      <c r="D78" s="112"/>
      <c r="E78" s="102"/>
      <c r="F78" s="120"/>
      <c r="G78" s="102"/>
      <c r="H78" s="101"/>
      <c r="I78" s="102"/>
      <c r="J78" s="102"/>
      <c r="K78" s="102"/>
      <c r="L78" s="180"/>
    </row>
    <row r="79" spans="1:12" ht="5.0999999999999996" customHeight="1" x14ac:dyDescent="0.25">
      <c r="A79" s="100"/>
      <c r="B79" s="221"/>
      <c r="C79" s="176"/>
      <c r="D79" s="177"/>
      <c r="E79" s="107"/>
      <c r="F79" s="121"/>
      <c r="G79" s="107"/>
      <c r="H79" s="104"/>
      <c r="I79" s="107"/>
      <c r="J79" s="107"/>
      <c r="K79" s="107"/>
      <c r="L79" s="106"/>
    </row>
    <row r="80" spans="1:12" ht="15.9" customHeight="1" x14ac:dyDescent="0.25">
      <c r="A80" s="100"/>
      <c r="B80" s="221"/>
      <c r="C80" s="176"/>
      <c r="D80" s="113" t="s">
        <v>72</v>
      </c>
      <c r="E80" s="107"/>
      <c r="F80" s="154" t="s">
        <v>76</v>
      </c>
      <c r="G80" s="107"/>
      <c r="H80" s="181" t="s">
        <v>77</v>
      </c>
      <c r="I80" s="107"/>
      <c r="J80" s="109" t="s">
        <v>46</v>
      </c>
      <c r="K80" s="107"/>
      <c r="L80" s="110" t="s">
        <v>69</v>
      </c>
    </row>
    <row r="81" spans="1:12" ht="5.0999999999999996" customHeight="1" x14ac:dyDescent="0.25">
      <c r="A81" s="100"/>
      <c r="B81" s="221"/>
      <c r="C81" s="176"/>
      <c r="D81" s="112"/>
      <c r="E81" s="102"/>
      <c r="F81" s="120"/>
      <c r="G81" s="102"/>
      <c r="H81" s="101"/>
      <c r="I81" s="102"/>
      <c r="J81" s="102"/>
      <c r="K81" s="102"/>
      <c r="L81" s="180"/>
    </row>
    <row r="82" spans="1:12" ht="5.0999999999999996" customHeight="1" x14ac:dyDescent="0.25">
      <c r="A82" s="100"/>
      <c r="B82" s="221"/>
      <c r="C82" s="176"/>
      <c r="D82" s="177"/>
      <c r="E82" s="107"/>
      <c r="F82" s="121"/>
      <c r="G82" s="107"/>
      <c r="H82" s="104"/>
      <c r="I82" s="107"/>
      <c r="J82" s="107"/>
      <c r="K82" s="107"/>
      <c r="L82" s="106"/>
    </row>
    <row r="83" spans="1:12" ht="15.9" customHeight="1" x14ac:dyDescent="0.25">
      <c r="A83" s="100"/>
      <c r="B83" s="221"/>
      <c r="C83" s="176"/>
      <c r="D83" s="113" t="s">
        <v>73</v>
      </c>
      <c r="E83" s="107"/>
      <c r="F83" s="154" t="s">
        <v>76</v>
      </c>
      <c r="G83" s="107"/>
      <c r="H83" s="181" t="s">
        <v>77</v>
      </c>
      <c r="I83" s="107"/>
      <c r="J83" s="109" t="s">
        <v>46</v>
      </c>
      <c r="K83" s="107"/>
      <c r="L83" s="110" t="s">
        <v>69</v>
      </c>
    </row>
    <row r="84" spans="1:12" ht="5.0999999999999996" customHeight="1" x14ac:dyDescent="0.25">
      <c r="A84" s="100"/>
      <c r="B84" s="221"/>
      <c r="C84" s="176"/>
      <c r="D84" s="112"/>
      <c r="E84" s="102"/>
      <c r="F84" s="120"/>
      <c r="G84" s="102"/>
      <c r="H84" s="101"/>
      <c r="I84" s="102"/>
      <c r="J84" s="102"/>
      <c r="K84" s="102"/>
      <c r="L84" s="180"/>
    </row>
    <row r="85" spans="1:12" ht="5.0999999999999996" customHeight="1" x14ac:dyDescent="0.25">
      <c r="A85" s="100"/>
      <c r="B85" s="221"/>
      <c r="C85" s="176"/>
      <c r="D85" s="177"/>
      <c r="E85" s="107"/>
      <c r="F85" s="121"/>
      <c r="G85" s="107"/>
      <c r="H85" s="104"/>
      <c r="I85" s="107"/>
      <c r="J85" s="107"/>
      <c r="K85" s="107"/>
      <c r="L85" s="106"/>
    </row>
    <row r="86" spans="1:12" ht="15.9" customHeight="1" x14ac:dyDescent="0.25">
      <c r="A86" s="100"/>
      <c r="B86" s="221"/>
      <c r="C86" s="176"/>
      <c r="D86" s="113" t="s">
        <v>74</v>
      </c>
      <c r="E86" s="107"/>
      <c r="F86" s="154" t="s">
        <v>76</v>
      </c>
      <c r="G86" s="107"/>
      <c r="H86" s="181" t="s">
        <v>77</v>
      </c>
      <c r="I86" s="107"/>
      <c r="J86" s="109" t="s">
        <v>46</v>
      </c>
      <c r="K86" s="107"/>
      <c r="L86" s="110" t="s">
        <v>45</v>
      </c>
    </row>
    <row r="87" spans="1:12" ht="5.0999999999999996" customHeight="1" x14ac:dyDescent="0.25">
      <c r="A87" s="100"/>
      <c r="B87" s="221"/>
      <c r="C87" s="176"/>
      <c r="D87" s="112"/>
      <c r="E87" s="102"/>
      <c r="F87" s="120"/>
      <c r="G87" s="102"/>
      <c r="H87" s="101"/>
      <c r="I87" s="102"/>
      <c r="J87" s="102"/>
      <c r="K87" s="102"/>
      <c r="L87" s="180"/>
    </row>
    <row r="88" spans="1:12" ht="5.0999999999999996" customHeight="1" x14ac:dyDescent="0.25">
      <c r="A88" s="100"/>
      <c r="B88" s="221"/>
      <c r="C88" s="176"/>
      <c r="D88" s="177"/>
      <c r="E88" s="107"/>
      <c r="F88" s="121"/>
      <c r="G88" s="107"/>
      <c r="H88" s="104"/>
      <c r="I88" s="107"/>
      <c r="J88" s="107"/>
      <c r="K88" s="107"/>
      <c r="L88" s="106"/>
    </row>
    <row r="89" spans="1:12" ht="15.9" customHeight="1" x14ac:dyDescent="0.25">
      <c r="A89" s="100"/>
      <c r="B89" s="221"/>
      <c r="C89" s="176"/>
      <c r="D89" s="113" t="s">
        <v>75</v>
      </c>
      <c r="E89" s="107"/>
      <c r="F89" s="154" t="s">
        <v>76</v>
      </c>
      <c r="G89" s="107"/>
      <c r="H89" s="181" t="s">
        <v>77</v>
      </c>
      <c r="I89" s="107"/>
      <c r="J89" s="109" t="s">
        <v>46</v>
      </c>
      <c r="K89" s="107"/>
      <c r="L89" s="110" t="s">
        <v>45</v>
      </c>
    </row>
    <row r="90" spans="1:12" ht="5.0999999999999996" customHeight="1" x14ac:dyDescent="0.25">
      <c r="A90" s="100"/>
      <c r="B90" s="221"/>
      <c r="C90" s="176"/>
      <c r="D90" s="112"/>
      <c r="E90" s="102"/>
      <c r="F90" s="102"/>
      <c r="G90" s="102"/>
      <c r="H90" s="101"/>
      <c r="I90" s="102"/>
      <c r="J90" s="102"/>
      <c r="K90" s="102"/>
      <c r="L90" s="180"/>
    </row>
    <row r="91" spans="1:12" ht="5.0999999999999996" customHeight="1" x14ac:dyDescent="0.25">
      <c r="A91" s="100"/>
      <c r="B91" s="221"/>
      <c r="C91" s="176"/>
      <c r="D91" s="177"/>
      <c r="E91" s="107"/>
      <c r="F91" s="107"/>
      <c r="G91" s="107"/>
      <c r="H91" s="104"/>
      <c r="I91" s="107"/>
      <c r="J91" s="107"/>
      <c r="K91" s="107"/>
      <c r="L91" s="106"/>
    </row>
    <row r="92" spans="1:12" ht="15.9" customHeight="1" x14ac:dyDescent="0.25">
      <c r="A92" s="100"/>
      <c r="B92" s="221"/>
      <c r="C92" s="176"/>
      <c r="D92" s="113" t="s">
        <v>79</v>
      </c>
      <c r="E92" s="107"/>
      <c r="F92" s="132">
        <v>654654</v>
      </c>
      <c r="G92" s="107"/>
      <c r="H92" s="181" t="s">
        <v>82</v>
      </c>
      <c r="I92" s="107"/>
      <c r="J92" s="109" t="s">
        <v>46</v>
      </c>
      <c r="K92" s="107"/>
      <c r="L92" s="110" t="s">
        <v>45</v>
      </c>
    </row>
    <row r="93" spans="1:12" ht="5.0999999999999996" customHeight="1" x14ac:dyDescent="0.25">
      <c r="A93" s="100"/>
      <c r="B93" s="221"/>
      <c r="C93" s="176"/>
      <c r="D93" s="112"/>
      <c r="E93" s="102"/>
      <c r="F93" s="102"/>
      <c r="G93" s="102"/>
      <c r="H93" s="101"/>
      <c r="I93" s="102"/>
      <c r="J93" s="102"/>
      <c r="K93" s="102"/>
      <c r="L93" s="180"/>
    </row>
    <row r="94" spans="1:12" ht="5.0999999999999996" customHeight="1" x14ac:dyDescent="0.25">
      <c r="A94" s="100"/>
      <c r="B94" s="221"/>
      <c r="C94" s="176"/>
      <c r="D94" s="177"/>
      <c r="E94" s="107"/>
      <c r="F94" s="107"/>
      <c r="G94" s="107"/>
      <c r="H94" s="104"/>
      <c r="I94" s="107"/>
      <c r="J94" s="107"/>
      <c r="K94" s="107"/>
      <c r="L94" s="106"/>
    </row>
    <row r="95" spans="1:12" ht="15.9" customHeight="1" x14ac:dyDescent="0.25">
      <c r="A95" s="100"/>
      <c r="B95" s="221"/>
      <c r="C95" s="176"/>
      <c r="D95" s="113" t="s">
        <v>78</v>
      </c>
      <c r="E95" s="107"/>
      <c r="F95" s="132">
        <v>654654</v>
      </c>
      <c r="G95" s="107"/>
      <c r="H95" s="181" t="s">
        <v>82</v>
      </c>
      <c r="I95" s="107"/>
      <c r="J95" s="109" t="s">
        <v>46</v>
      </c>
      <c r="K95" s="107"/>
      <c r="L95" s="110" t="s">
        <v>45</v>
      </c>
    </row>
    <row r="96" spans="1:12" ht="5.0999999999999996" customHeight="1" x14ac:dyDescent="0.25">
      <c r="A96" s="100"/>
      <c r="B96" s="221"/>
      <c r="C96" s="176"/>
      <c r="D96" s="112"/>
      <c r="E96" s="102"/>
      <c r="F96" s="102"/>
      <c r="G96" s="102"/>
      <c r="H96" s="101"/>
      <c r="I96" s="102"/>
      <c r="J96" s="102"/>
      <c r="K96" s="102"/>
      <c r="L96" s="180"/>
    </row>
    <row r="97" spans="1:12" ht="5.0999999999999996" customHeight="1" x14ac:dyDescent="0.25">
      <c r="A97" s="100"/>
      <c r="B97" s="221"/>
      <c r="C97" s="176"/>
      <c r="D97" s="177"/>
      <c r="E97" s="107"/>
      <c r="F97" s="107"/>
      <c r="G97" s="107"/>
      <c r="H97" s="104"/>
      <c r="I97" s="107"/>
      <c r="J97" s="107"/>
      <c r="K97" s="107"/>
      <c r="L97" s="106"/>
    </row>
    <row r="98" spans="1:12" ht="15.9" customHeight="1" x14ac:dyDescent="0.25">
      <c r="A98" s="100"/>
      <c r="B98" s="221"/>
      <c r="C98" s="176"/>
      <c r="D98" s="113" t="s">
        <v>80</v>
      </c>
      <c r="E98" s="107"/>
      <c r="F98" s="98">
        <v>654654</v>
      </c>
      <c r="G98" s="107"/>
      <c r="H98" s="181" t="s">
        <v>82</v>
      </c>
      <c r="I98" s="107"/>
      <c r="J98" s="109" t="s">
        <v>46</v>
      </c>
      <c r="K98" s="107"/>
      <c r="L98" s="110" t="s">
        <v>45</v>
      </c>
    </row>
    <row r="99" spans="1:12" ht="5.0999999999999996" customHeight="1" x14ac:dyDescent="0.25">
      <c r="A99" s="100"/>
      <c r="B99" s="221"/>
      <c r="C99" s="176"/>
      <c r="D99" s="112"/>
      <c r="E99" s="102"/>
      <c r="F99" s="102"/>
      <c r="G99" s="102"/>
      <c r="H99" s="101"/>
      <c r="I99" s="102"/>
      <c r="J99" s="102"/>
      <c r="K99" s="102"/>
      <c r="L99" s="180"/>
    </row>
    <row r="100" spans="1:12" ht="5.0999999999999996" customHeight="1" x14ac:dyDescent="0.25">
      <c r="A100" s="100"/>
      <c r="B100" s="221"/>
      <c r="C100" s="176"/>
      <c r="D100" s="177"/>
      <c r="E100" s="107"/>
      <c r="F100" s="107"/>
      <c r="G100" s="107"/>
      <c r="H100" s="104"/>
      <c r="I100" s="107"/>
      <c r="J100" s="107"/>
      <c r="K100" s="107"/>
      <c r="L100" s="106"/>
    </row>
    <row r="101" spans="1:12" ht="15.9" customHeight="1" x14ac:dyDescent="0.25">
      <c r="A101" s="100"/>
      <c r="B101" s="221"/>
      <c r="C101" s="176"/>
      <c r="D101" s="113" t="s">
        <v>81</v>
      </c>
      <c r="E101" s="107"/>
      <c r="F101" s="132">
        <v>654654</v>
      </c>
      <c r="G101" s="107"/>
      <c r="H101" s="181" t="s">
        <v>82</v>
      </c>
      <c r="I101" s="107"/>
      <c r="J101" s="109" t="s">
        <v>46</v>
      </c>
      <c r="K101" s="107"/>
      <c r="L101" s="110" t="s">
        <v>45</v>
      </c>
    </row>
    <row r="102" spans="1:12" ht="5.0999999999999996" customHeight="1" x14ac:dyDescent="0.25">
      <c r="A102" s="100"/>
      <c r="B102" s="221"/>
      <c r="C102" s="176"/>
      <c r="D102" s="112"/>
      <c r="E102" s="102"/>
      <c r="F102" s="102"/>
      <c r="G102" s="102"/>
      <c r="H102" s="101"/>
      <c r="I102" s="102"/>
      <c r="J102" s="102"/>
      <c r="K102" s="102"/>
      <c r="L102" s="180"/>
    </row>
    <row r="103" spans="1:12" ht="5.0999999999999996" customHeight="1" x14ac:dyDescent="0.25">
      <c r="A103" s="100"/>
      <c r="B103" s="221"/>
      <c r="C103" s="176"/>
      <c r="D103" s="177"/>
      <c r="E103" s="107"/>
      <c r="F103" s="107"/>
      <c r="G103" s="107"/>
      <c r="H103" s="104"/>
      <c r="I103" s="107"/>
      <c r="J103" s="107"/>
      <c r="K103" s="107"/>
      <c r="L103" s="106"/>
    </row>
    <row r="104" spans="1:12" ht="15.9" customHeight="1" x14ac:dyDescent="0.25">
      <c r="A104" s="100"/>
      <c r="B104" s="221"/>
      <c r="C104" s="176"/>
      <c r="D104" s="113" t="s">
        <v>87</v>
      </c>
      <c r="E104" s="107"/>
      <c r="F104" s="119" t="s">
        <v>76</v>
      </c>
      <c r="G104" s="107"/>
      <c r="H104" s="181" t="s">
        <v>77</v>
      </c>
      <c r="I104" s="107"/>
      <c r="J104" s="109" t="s">
        <v>46</v>
      </c>
      <c r="K104" s="107"/>
      <c r="L104" s="110" t="s">
        <v>45</v>
      </c>
    </row>
    <row r="105" spans="1:12" ht="5.0999999999999996" customHeight="1" x14ac:dyDescent="0.25">
      <c r="A105" s="100"/>
      <c r="B105" s="221"/>
      <c r="C105" s="176"/>
      <c r="D105" s="112"/>
      <c r="E105" s="102"/>
      <c r="F105" s="102"/>
      <c r="G105" s="102"/>
      <c r="H105" s="101"/>
      <c r="I105" s="102"/>
      <c r="J105" s="102"/>
      <c r="K105" s="102"/>
      <c r="L105" s="180"/>
    </row>
    <row r="106" spans="1:12" ht="5.0999999999999996" customHeight="1" x14ac:dyDescent="0.25">
      <c r="A106" s="100"/>
      <c r="B106" s="221"/>
      <c r="C106" s="176"/>
      <c r="D106" s="177"/>
      <c r="E106" s="107"/>
      <c r="F106" s="107"/>
      <c r="G106" s="107"/>
      <c r="H106" s="104"/>
      <c r="I106" s="107"/>
      <c r="J106" s="107"/>
      <c r="K106" s="107"/>
      <c r="L106" s="106"/>
    </row>
    <row r="107" spans="1:12" ht="15.9" customHeight="1" x14ac:dyDescent="0.25">
      <c r="A107" s="100"/>
      <c r="B107" s="221"/>
      <c r="C107" s="176"/>
      <c r="D107" s="113" t="s">
        <v>89</v>
      </c>
      <c r="E107" s="107"/>
      <c r="F107" s="155">
        <v>6.5</v>
      </c>
      <c r="G107" s="107"/>
      <c r="H107" s="181" t="s">
        <v>90</v>
      </c>
      <c r="I107" s="107"/>
      <c r="J107" s="109" t="s">
        <v>76</v>
      </c>
      <c r="K107" s="107"/>
      <c r="L107" s="110" t="s">
        <v>45</v>
      </c>
    </row>
    <row r="108" spans="1:12" ht="5.0999999999999996" customHeight="1" x14ac:dyDescent="0.25">
      <c r="A108" s="100"/>
      <c r="B108" s="221"/>
      <c r="C108" s="176"/>
      <c r="D108" s="112"/>
      <c r="E108" s="102"/>
      <c r="F108" s="102"/>
      <c r="G108" s="102"/>
      <c r="H108" s="101"/>
      <c r="I108" s="102"/>
      <c r="J108" s="102"/>
      <c r="K108" s="102"/>
      <c r="L108" s="180"/>
    </row>
    <row r="109" spans="1:12" ht="5.0999999999999996" customHeight="1" x14ac:dyDescent="0.25">
      <c r="A109" s="100"/>
      <c r="B109" s="221"/>
      <c r="C109" s="176"/>
      <c r="D109" s="177"/>
      <c r="E109" s="107"/>
      <c r="F109" s="107"/>
      <c r="G109" s="107"/>
      <c r="H109" s="104"/>
      <c r="I109" s="107"/>
      <c r="J109" s="107"/>
      <c r="K109" s="107"/>
      <c r="L109" s="106"/>
    </row>
    <row r="110" spans="1:12" ht="15.9" customHeight="1" x14ac:dyDescent="0.25">
      <c r="A110" s="100"/>
      <c r="B110" s="221"/>
      <c r="C110" s="176"/>
      <c r="D110" s="113" t="s">
        <v>91</v>
      </c>
      <c r="E110" s="107"/>
      <c r="F110" s="155">
        <v>6.5</v>
      </c>
      <c r="G110" s="107"/>
      <c r="H110" s="181" t="s">
        <v>90</v>
      </c>
      <c r="I110" s="107"/>
      <c r="J110" s="109" t="s">
        <v>76</v>
      </c>
      <c r="K110" s="107"/>
      <c r="L110" s="110" t="s">
        <v>45</v>
      </c>
    </row>
    <row r="111" spans="1:12" ht="5.0999999999999996" customHeight="1" x14ac:dyDescent="0.25">
      <c r="A111" s="100"/>
      <c r="B111" s="221"/>
      <c r="C111" s="176"/>
      <c r="D111" s="112"/>
      <c r="E111" s="102"/>
      <c r="F111" s="102"/>
      <c r="G111" s="102"/>
      <c r="H111" s="101"/>
      <c r="I111" s="102"/>
      <c r="J111" s="102"/>
      <c r="K111" s="102"/>
      <c r="L111" s="180"/>
    </row>
    <row r="112" spans="1:12" ht="5.0999999999999996" customHeight="1" x14ac:dyDescent="0.25">
      <c r="A112" s="100"/>
      <c r="B112" s="221"/>
      <c r="C112" s="176"/>
      <c r="D112" s="177"/>
      <c r="E112" s="107"/>
      <c r="F112" s="107"/>
      <c r="G112" s="107"/>
      <c r="H112" s="104"/>
      <c r="I112" s="107"/>
      <c r="J112" s="107"/>
      <c r="K112" s="107"/>
      <c r="L112" s="106"/>
    </row>
    <row r="113" spans="1:12" ht="15.9" customHeight="1" x14ac:dyDescent="0.25">
      <c r="A113" s="100"/>
      <c r="B113" s="221"/>
      <c r="C113" s="176"/>
      <c r="D113" s="113" t="s">
        <v>22</v>
      </c>
      <c r="E113" s="107"/>
      <c r="F113" s="132">
        <v>654654</v>
      </c>
      <c r="G113" s="107"/>
      <c r="H113" s="181" t="s">
        <v>82</v>
      </c>
      <c r="I113" s="107"/>
      <c r="J113" s="109" t="s">
        <v>76</v>
      </c>
      <c r="K113" s="107"/>
      <c r="L113" s="110" t="s">
        <v>45</v>
      </c>
    </row>
    <row r="114" spans="1:12" ht="5.0999999999999996" customHeight="1" x14ac:dyDescent="0.25">
      <c r="A114" s="100"/>
      <c r="B114" s="221"/>
      <c r="C114" s="176"/>
      <c r="D114" s="112"/>
      <c r="E114" s="102"/>
      <c r="F114" s="102"/>
      <c r="G114" s="102"/>
      <c r="H114" s="101"/>
      <c r="I114" s="102"/>
      <c r="J114" s="102"/>
      <c r="K114" s="102"/>
      <c r="L114" s="180"/>
    </row>
    <row r="115" spans="1:12" ht="5.0999999999999996" customHeight="1" x14ac:dyDescent="0.25">
      <c r="A115" s="100"/>
      <c r="B115" s="221"/>
      <c r="C115" s="176"/>
      <c r="D115" s="177"/>
      <c r="E115" s="107"/>
      <c r="F115" s="107"/>
      <c r="G115" s="107"/>
      <c r="H115" s="104"/>
      <c r="I115" s="107"/>
      <c r="J115" s="107"/>
      <c r="K115" s="107"/>
      <c r="L115" s="106"/>
    </row>
    <row r="116" spans="1:12" ht="15.9" customHeight="1" x14ac:dyDescent="0.25">
      <c r="A116" s="100"/>
      <c r="B116" s="221"/>
      <c r="C116" s="176"/>
      <c r="D116" s="113" t="s">
        <v>98</v>
      </c>
      <c r="E116" s="107"/>
      <c r="F116" s="132">
        <v>654654</v>
      </c>
      <c r="G116" s="107"/>
      <c r="H116" s="181" t="s">
        <v>82</v>
      </c>
      <c r="I116" s="107"/>
      <c r="J116" s="109" t="s">
        <v>76</v>
      </c>
      <c r="K116" s="107"/>
      <c r="L116" s="110" t="s">
        <v>45</v>
      </c>
    </row>
    <row r="117" spans="1:12" ht="5.0999999999999996" customHeight="1" x14ac:dyDescent="0.25">
      <c r="A117" s="100"/>
      <c r="B117" s="221"/>
      <c r="C117" s="176"/>
      <c r="D117" s="112"/>
      <c r="E117" s="102"/>
      <c r="F117" s="102"/>
      <c r="G117" s="102"/>
      <c r="H117" s="101"/>
      <c r="I117" s="102"/>
      <c r="J117" s="102"/>
      <c r="K117" s="102"/>
      <c r="L117" s="180"/>
    </row>
    <row r="118" spans="1:12" ht="5.0999999999999996" customHeight="1" x14ac:dyDescent="0.25">
      <c r="A118" s="100"/>
      <c r="B118" s="221"/>
      <c r="C118" s="176"/>
      <c r="D118" s="177"/>
      <c r="E118" s="107"/>
      <c r="F118" s="107"/>
      <c r="G118" s="107"/>
      <c r="H118" s="104"/>
      <c r="I118" s="107"/>
      <c r="J118" s="107"/>
      <c r="K118" s="107"/>
      <c r="L118" s="106"/>
    </row>
    <row r="119" spans="1:12" ht="15.9" customHeight="1" x14ac:dyDescent="0.25">
      <c r="A119" s="100"/>
      <c r="B119" s="221"/>
      <c r="C119" s="176"/>
      <c r="D119" s="113" t="s">
        <v>130</v>
      </c>
      <c r="E119" s="107"/>
      <c r="F119" s="192">
        <v>10000</v>
      </c>
      <c r="G119" s="107"/>
      <c r="H119" s="181" t="s">
        <v>45</v>
      </c>
      <c r="I119" s="107"/>
      <c r="J119" s="109" t="s">
        <v>46</v>
      </c>
      <c r="K119" s="107"/>
      <c r="L119" s="110" t="s">
        <v>45</v>
      </c>
    </row>
    <row r="120" spans="1:12" ht="5.0999999999999996" customHeight="1" x14ac:dyDescent="0.25">
      <c r="A120" s="100"/>
      <c r="B120" s="221"/>
      <c r="C120" s="176"/>
      <c r="D120" s="112"/>
      <c r="E120" s="102"/>
      <c r="F120" s="102"/>
      <c r="G120" s="102"/>
      <c r="H120" s="101"/>
      <c r="I120" s="102"/>
      <c r="J120" s="102"/>
      <c r="K120" s="102"/>
      <c r="L120" s="180"/>
    </row>
    <row r="121" spans="1:12" ht="5.0999999999999996" customHeight="1" x14ac:dyDescent="0.25">
      <c r="A121" s="100"/>
      <c r="B121" s="221"/>
      <c r="C121" s="176"/>
      <c r="D121" s="177"/>
      <c r="E121" s="107"/>
      <c r="F121" s="107"/>
      <c r="G121" s="107"/>
      <c r="H121" s="104"/>
      <c r="I121" s="107"/>
      <c r="J121" s="107"/>
      <c r="K121" s="107"/>
      <c r="L121" s="106"/>
    </row>
    <row r="122" spans="1:12" ht="15.9" customHeight="1" x14ac:dyDescent="0.25">
      <c r="A122" s="100"/>
      <c r="B122" s="221"/>
      <c r="C122" s="176"/>
      <c r="D122" s="113" t="s">
        <v>116</v>
      </c>
      <c r="E122" s="107"/>
      <c r="F122" s="192">
        <v>10000</v>
      </c>
      <c r="G122" s="107"/>
      <c r="H122" s="181" t="s">
        <v>45</v>
      </c>
      <c r="I122" s="107"/>
      <c r="J122" s="109" t="s">
        <v>46</v>
      </c>
      <c r="K122" s="107"/>
      <c r="L122" s="110" t="s">
        <v>45</v>
      </c>
    </row>
    <row r="123" spans="1:12" ht="5.0999999999999996" customHeight="1" x14ac:dyDescent="0.25">
      <c r="A123" s="100"/>
      <c r="B123" s="221"/>
      <c r="C123" s="176"/>
      <c r="D123" s="112"/>
      <c r="E123" s="102"/>
      <c r="F123" s="102"/>
      <c r="G123" s="102"/>
      <c r="H123" s="101"/>
      <c r="I123" s="102"/>
      <c r="J123" s="102"/>
      <c r="K123" s="102"/>
      <c r="L123" s="180"/>
    </row>
    <row r="124" spans="1:12" ht="21.9" customHeight="1" x14ac:dyDescent="0.25">
      <c r="A124" s="100"/>
      <c r="B124" s="221"/>
      <c r="C124" s="176"/>
      <c r="D124" s="46"/>
      <c r="E124" s="46"/>
      <c r="F124" s="46"/>
      <c r="G124" s="46"/>
      <c r="H124" s="104"/>
      <c r="I124" s="46"/>
      <c r="J124" s="46"/>
      <c r="K124" s="46"/>
      <c r="L124" s="106"/>
    </row>
    <row r="125" spans="1:12" ht="5.0999999999999996" customHeight="1" thickBot="1" x14ac:dyDescent="0.3">
      <c r="A125" s="100"/>
      <c r="B125" s="231"/>
      <c r="C125" s="182"/>
      <c r="D125" s="59"/>
      <c r="E125" s="59"/>
      <c r="F125" s="59"/>
      <c r="G125" s="59"/>
      <c r="H125" s="63"/>
      <c r="I125" s="59"/>
      <c r="J125" s="59"/>
      <c r="K125" s="59"/>
      <c r="L125" s="60"/>
    </row>
    <row r="126" spans="1:12" ht="18" customHeight="1" x14ac:dyDescent="0.25">
      <c r="A126" s="100"/>
      <c r="B126" s="220" t="s">
        <v>43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106"/>
    </row>
    <row r="127" spans="1:12" ht="17.100000000000001" customHeight="1" x14ac:dyDescent="0.25">
      <c r="A127" s="100"/>
      <c r="B127" s="221"/>
      <c r="C127" s="38"/>
      <c r="D127" s="101"/>
      <c r="E127" s="211" t="s">
        <v>40</v>
      </c>
      <c r="F127" s="212"/>
      <c r="G127" s="213"/>
      <c r="H127" s="37" t="s">
        <v>41</v>
      </c>
      <c r="I127" s="211" t="s">
        <v>42</v>
      </c>
      <c r="J127" s="212"/>
      <c r="K127" s="213"/>
      <c r="L127" s="48" t="s">
        <v>41</v>
      </c>
    </row>
    <row r="128" spans="1:12" ht="5.0999999999999996" customHeight="1" x14ac:dyDescent="0.25">
      <c r="A128" s="100"/>
      <c r="B128" s="221"/>
      <c r="C128" s="208"/>
      <c r="D128" s="46"/>
      <c r="E128" s="107"/>
      <c r="F128" s="107"/>
      <c r="G128" s="107"/>
      <c r="H128" s="42"/>
      <c r="I128" s="107"/>
      <c r="J128" s="107"/>
      <c r="K128" s="107"/>
      <c r="L128" s="106"/>
    </row>
    <row r="129" spans="1:12" ht="15.9" customHeight="1" x14ac:dyDescent="0.25">
      <c r="A129" s="100"/>
      <c r="B129" s="221"/>
      <c r="C129" s="209"/>
      <c r="D129" s="177" t="s">
        <v>51</v>
      </c>
      <c r="E129" s="107"/>
      <c r="F129" s="51">
        <v>10000</v>
      </c>
      <c r="G129" s="107"/>
      <c r="H129" s="181" t="s">
        <v>45</v>
      </c>
      <c r="I129" s="107"/>
      <c r="J129" s="109" t="s">
        <v>46</v>
      </c>
      <c r="K129" s="107"/>
      <c r="L129" s="110" t="s">
        <v>45</v>
      </c>
    </row>
    <row r="130" spans="1:12" ht="5.0999999999999996" customHeight="1" x14ac:dyDescent="0.25">
      <c r="A130" s="100"/>
      <c r="B130" s="221"/>
      <c r="C130" s="210"/>
      <c r="D130" s="179"/>
      <c r="E130" s="102"/>
      <c r="F130" s="102"/>
      <c r="G130" s="102"/>
      <c r="H130" s="101"/>
      <c r="I130" s="102"/>
      <c r="J130" s="102"/>
      <c r="K130" s="102"/>
      <c r="L130" s="180"/>
    </row>
    <row r="131" spans="1:12" ht="5.0999999999999996" customHeight="1" x14ac:dyDescent="0.25">
      <c r="A131" s="100"/>
      <c r="B131" s="221"/>
      <c r="C131" s="209"/>
      <c r="D131" s="46"/>
      <c r="E131" s="107"/>
      <c r="F131" s="107"/>
      <c r="G131" s="107"/>
      <c r="H131" s="104"/>
      <c r="I131" s="107"/>
      <c r="J131" s="107"/>
      <c r="K131" s="107"/>
      <c r="L131" s="106"/>
    </row>
    <row r="132" spans="1:12" ht="15.9" customHeight="1" x14ac:dyDescent="0.25">
      <c r="A132" s="100"/>
      <c r="B132" s="221"/>
      <c r="C132" s="209"/>
      <c r="D132" s="177" t="s">
        <v>52</v>
      </c>
      <c r="E132" s="107"/>
      <c r="F132" s="86">
        <v>10000</v>
      </c>
      <c r="G132" s="107"/>
      <c r="H132" s="181" t="s">
        <v>45</v>
      </c>
      <c r="I132" s="107"/>
      <c r="J132" s="109" t="s">
        <v>46</v>
      </c>
      <c r="K132" s="107"/>
      <c r="L132" s="110" t="s">
        <v>45</v>
      </c>
    </row>
    <row r="133" spans="1:12" ht="5.0999999999999996" customHeight="1" x14ac:dyDescent="0.25">
      <c r="A133" s="100"/>
      <c r="B133" s="221"/>
      <c r="C133" s="210"/>
      <c r="D133" s="179"/>
      <c r="E133" s="102"/>
      <c r="F133" s="102"/>
      <c r="G133" s="102"/>
      <c r="H133" s="101"/>
      <c r="I133" s="102"/>
      <c r="J133" s="102"/>
      <c r="K133" s="102"/>
      <c r="L133" s="180"/>
    </row>
    <row r="134" spans="1:12" ht="5.0999999999999996" customHeight="1" x14ac:dyDescent="0.25">
      <c r="A134" s="100"/>
      <c r="B134" s="221"/>
      <c r="C134" s="209"/>
      <c r="D134" s="46"/>
      <c r="E134" s="107"/>
      <c r="F134" s="107"/>
      <c r="G134" s="107"/>
      <c r="H134" s="104"/>
      <c r="I134" s="107"/>
      <c r="J134" s="107"/>
      <c r="K134" s="107"/>
      <c r="L134" s="106"/>
    </row>
    <row r="135" spans="1:12" ht="15.9" customHeight="1" x14ac:dyDescent="0.25">
      <c r="A135" s="100"/>
      <c r="B135" s="221"/>
      <c r="C135" s="209"/>
      <c r="D135" s="177" t="s">
        <v>53</v>
      </c>
      <c r="E135" s="107"/>
      <c r="F135" s="51">
        <v>10000</v>
      </c>
      <c r="G135" s="107"/>
      <c r="H135" s="181" t="s">
        <v>45</v>
      </c>
      <c r="I135" s="107"/>
      <c r="J135" s="109" t="s">
        <v>46</v>
      </c>
      <c r="K135" s="107"/>
      <c r="L135" s="110" t="s">
        <v>45</v>
      </c>
    </row>
    <row r="136" spans="1:12" ht="5.0999999999999996" customHeight="1" x14ac:dyDescent="0.25">
      <c r="A136" s="100"/>
      <c r="B136" s="221"/>
      <c r="C136" s="210"/>
      <c r="D136" s="179"/>
      <c r="E136" s="102"/>
      <c r="F136" s="102"/>
      <c r="G136" s="102"/>
      <c r="H136" s="101"/>
      <c r="I136" s="102"/>
      <c r="J136" s="102"/>
      <c r="K136" s="102"/>
      <c r="L136" s="180"/>
    </row>
    <row r="137" spans="1:12" ht="5.0999999999999996" customHeight="1" x14ac:dyDescent="0.25">
      <c r="A137" s="100"/>
      <c r="B137" s="221"/>
      <c r="C137" s="209"/>
      <c r="D137" s="46"/>
      <c r="E137" s="107"/>
      <c r="F137" s="107"/>
      <c r="G137" s="107"/>
      <c r="H137" s="104"/>
      <c r="I137" s="107"/>
      <c r="J137" s="107"/>
      <c r="K137" s="107"/>
      <c r="L137" s="106"/>
    </row>
    <row r="138" spans="1:12" ht="15.9" customHeight="1" x14ac:dyDescent="0.25">
      <c r="A138" s="100"/>
      <c r="B138" s="221"/>
      <c r="C138" s="209"/>
      <c r="D138" s="177" t="s">
        <v>54</v>
      </c>
      <c r="E138" s="107"/>
      <c r="F138" s="86">
        <v>10000</v>
      </c>
      <c r="G138" s="107"/>
      <c r="H138" s="181" t="s">
        <v>45</v>
      </c>
      <c r="I138" s="107"/>
      <c r="J138" s="109" t="s">
        <v>46</v>
      </c>
      <c r="K138" s="107"/>
      <c r="L138" s="110" t="s">
        <v>45</v>
      </c>
    </row>
    <row r="139" spans="1:12" ht="5.0999999999999996" customHeight="1" x14ac:dyDescent="0.25">
      <c r="A139" s="100"/>
      <c r="B139" s="221"/>
      <c r="C139" s="210"/>
      <c r="D139" s="179"/>
      <c r="E139" s="102"/>
      <c r="F139" s="102"/>
      <c r="G139" s="102"/>
      <c r="H139" s="101"/>
      <c r="I139" s="102"/>
      <c r="J139" s="102"/>
      <c r="K139" s="102"/>
      <c r="L139" s="180"/>
    </row>
    <row r="140" spans="1:12" ht="5.0999999999999996" customHeight="1" x14ac:dyDescent="0.25">
      <c r="A140" s="100"/>
      <c r="B140" s="221"/>
      <c r="C140" s="209"/>
      <c r="D140" s="46"/>
      <c r="E140" s="107"/>
      <c r="F140" s="107"/>
      <c r="G140" s="107"/>
      <c r="H140" s="104"/>
      <c r="I140" s="107"/>
      <c r="J140" s="107"/>
      <c r="K140" s="107"/>
      <c r="L140" s="106"/>
    </row>
    <row r="141" spans="1:12" ht="15.9" customHeight="1" x14ac:dyDescent="0.25">
      <c r="A141" s="100"/>
      <c r="B141" s="221"/>
      <c r="C141" s="209"/>
      <c r="D141" s="177" t="s">
        <v>55</v>
      </c>
      <c r="E141" s="107"/>
      <c r="F141" s="90">
        <v>10000</v>
      </c>
      <c r="G141" s="107"/>
      <c r="H141" s="181" t="s">
        <v>45</v>
      </c>
      <c r="I141" s="107"/>
      <c r="J141" s="109" t="s">
        <v>46</v>
      </c>
      <c r="K141" s="107"/>
      <c r="L141" s="110" t="s">
        <v>45</v>
      </c>
    </row>
    <row r="142" spans="1:12" ht="5.0999999999999996" customHeight="1" x14ac:dyDescent="0.25">
      <c r="A142" s="100"/>
      <c r="B142" s="221"/>
      <c r="C142" s="210"/>
      <c r="D142" s="179"/>
      <c r="E142" s="102"/>
      <c r="F142" s="102"/>
      <c r="G142" s="102"/>
      <c r="H142" s="101"/>
      <c r="I142" s="102"/>
      <c r="J142" s="102"/>
      <c r="K142" s="102"/>
      <c r="L142" s="180"/>
    </row>
    <row r="143" spans="1:12" ht="5.0999999999999996" customHeight="1" x14ac:dyDescent="0.25">
      <c r="A143" s="100"/>
      <c r="B143" s="221"/>
      <c r="C143" s="209"/>
      <c r="D143" s="46"/>
      <c r="E143" s="107"/>
      <c r="F143" s="107"/>
      <c r="G143" s="107"/>
      <c r="H143" s="104"/>
      <c r="I143" s="107"/>
      <c r="J143" s="107"/>
      <c r="K143" s="107"/>
      <c r="L143" s="106"/>
    </row>
    <row r="144" spans="1:12" ht="15.9" customHeight="1" x14ac:dyDescent="0.25">
      <c r="A144" s="100"/>
      <c r="B144" s="221"/>
      <c r="C144" s="209"/>
      <c r="D144" s="177" t="s">
        <v>56</v>
      </c>
      <c r="E144" s="107"/>
      <c r="F144" s="107"/>
      <c r="G144" s="107"/>
      <c r="H144" s="104"/>
      <c r="I144" s="107"/>
      <c r="J144" s="107"/>
      <c r="K144" s="107"/>
      <c r="L144" s="106"/>
    </row>
    <row r="145" spans="1:12" ht="5.0999999999999996" customHeight="1" x14ac:dyDescent="0.25">
      <c r="A145" s="100"/>
      <c r="B145" s="221"/>
      <c r="C145" s="176"/>
      <c r="D145" s="177"/>
      <c r="E145" s="107"/>
      <c r="F145" s="107"/>
      <c r="G145" s="107"/>
      <c r="H145" s="104"/>
      <c r="I145" s="107"/>
      <c r="J145" s="107"/>
      <c r="K145" s="107"/>
      <c r="L145" s="106"/>
    </row>
    <row r="146" spans="1:12" ht="15.9" customHeight="1" x14ac:dyDescent="0.25">
      <c r="A146" s="100"/>
      <c r="B146" s="221"/>
      <c r="C146" s="176"/>
      <c r="D146" s="113" t="s">
        <v>131</v>
      </c>
      <c r="E146" s="107"/>
      <c r="F146" s="132">
        <v>654654</v>
      </c>
      <c r="G146" s="107"/>
      <c r="H146" s="181" t="s">
        <v>82</v>
      </c>
      <c r="I146" s="107"/>
      <c r="J146" s="109" t="s">
        <v>76</v>
      </c>
      <c r="K146" s="107"/>
      <c r="L146" s="110" t="s">
        <v>45</v>
      </c>
    </row>
    <row r="147" spans="1:12" ht="5.0999999999999996" customHeight="1" x14ac:dyDescent="0.25">
      <c r="A147" s="100"/>
      <c r="B147" s="221"/>
      <c r="C147" s="176"/>
      <c r="D147" s="112"/>
      <c r="E147" s="102"/>
      <c r="F147" s="102"/>
      <c r="G147" s="102"/>
      <c r="H147" s="101"/>
      <c r="I147" s="102"/>
      <c r="J147" s="102"/>
      <c r="K147" s="102"/>
      <c r="L147" s="180"/>
    </row>
    <row r="148" spans="1:12" ht="5.0999999999999996" customHeight="1" x14ac:dyDescent="0.25">
      <c r="A148" s="100"/>
      <c r="B148" s="221"/>
      <c r="C148" s="176"/>
      <c r="D148" s="177"/>
      <c r="E148" s="107"/>
      <c r="F148" s="107"/>
      <c r="G148" s="107"/>
      <c r="H148" s="104"/>
      <c r="I148" s="107"/>
      <c r="J148" s="107"/>
      <c r="K148" s="107"/>
      <c r="L148" s="106"/>
    </row>
    <row r="149" spans="1:12" ht="15.9" customHeight="1" x14ac:dyDescent="0.25">
      <c r="A149" s="100"/>
      <c r="B149" s="221"/>
      <c r="C149" s="176"/>
      <c r="D149" s="113" t="s">
        <v>132</v>
      </c>
      <c r="E149" s="107"/>
      <c r="F149" s="132">
        <v>654654</v>
      </c>
      <c r="G149" s="107"/>
      <c r="H149" s="181" t="s">
        <v>82</v>
      </c>
      <c r="I149" s="107"/>
      <c r="J149" s="109" t="s">
        <v>76</v>
      </c>
      <c r="K149" s="107"/>
      <c r="L149" s="110" t="s">
        <v>45</v>
      </c>
    </row>
    <row r="150" spans="1:12" ht="5.0999999999999996" customHeight="1" x14ac:dyDescent="0.25">
      <c r="A150" s="100"/>
      <c r="B150" s="221"/>
      <c r="C150" s="176"/>
      <c r="D150" s="112"/>
      <c r="E150" s="102"/>
      <c r="F150" s="102"/>
      <c r="G150" s="102"/>
      <c r="H150" s="101"/>
      <c r="I150" s="102"/>
      <c r="J150" s="102"/>
      <c r="K150" s="102"/>
      <c r="L150" s="180"/>
    </row>
    <row r="151" spans="1:12" ht="5.0999999999999996" customHeight="1" x14ac:dyDescent="0.25">
      <c r="A151" s="100"/>
      <c r="B151" s="221"/>
      <c r="C151" s="176"/>
      <c r="D151" s="177"/>
      <c r="E151" s="107"/>
      <c r="F151" s="107"/>
      <c r="G151" s="107"/>
      <c r="H151" s="104"/>
      <c r="I151" s="107"/>
      <c r="J151" s="107"/>
      <c r="K151" s="107"/>
      <c r="L151" s="106"/>
    </row>
    <row r="152" spans="1:12" ht="15.9" customHeight="1" x14ac:dyDescent="0.25">
      <c r="A152" s="100"/>
      <c r="B152" s="221"/>
      <c r="C152" s="176"/>
      <c r="D152" s="113" t="s">
        <v>133</v>
      </c>
      <c r="E152" s="107"/>
      <c r="F152" s="132">
        <v>654654</v>
      </c>
      <c r="G152" s="107"/>
      <c r="H152" s="181" t="s">
        <v>82</v>
      </c>
      <c r="I152" s="107"/>
      <c r="J152" s="109" t="s">
        <v>76</v>
      </c>
      <c r="K152" s="107"/>
      <c r="L152" s="110" t="s">
        <v>45</v>
      </c>
    </row>
    <row r="153" spans="1:12" ht="5.0999999999999996" customHeight="1" x14ac:dyDescent="0.25">
      <c r="A153" s="100"/>
      <c r="B153" s="221"/>
      <c r="C153" s="176"/>
      <c r="D153" s="112"/>
      <c r="E153" s="102"/>
      <c r="F153" s="102"/>
      <c r="G153" s="102"/>
      <c r="H153" s="101"/>
      <c r="I153" s="102"/>
      <c r="J153" s="102"/>
      <c r="K153" s="102"/>
      <c r="L153" s="180"/>
    </row>
    <row r="154" spans="1:12" ht="5.0999999999999996" customHeight="1" x14ac:dyDescent="0.25">
      <c r="A154" s="100"/>
      <c r="B154" s="221"/>
      <c r="C154" s="176"/>
      <c r="D154" s="177"/>
      <c r="E154" s="107"/>
      <c r="F154" s="107"/>
      <c r="G154" s="107"/>
      <c r="H154" s="104"/>
      <c r="I154" s="107"/>
      <c r="J154" s="107"/>
      <c r="K154" s="107"/>
      <c r="L154" s="106"/>
    </row>
    <row r="155" spans="1:12" ht="15.9" customHeight="1" x14ac:dyDescent="0.25">
      <c r="A155" s="100"/>
      <c r="B155" s="221"/>
      <c r="C155" s="176"/>
      <c r="D155" s="113" t="s">
        <v>125</v>
      </c>
      <c r="E155" s="107"/>
      <c r="F155" s="86">
        <v>10000</v>
      </c>
      <c r="G155" s="107"/>
      <c r="H155" s="181" t="s">
        <v>45</v>
      </c>
      <c r="I155" s="107"/>
      <c r="J155" s="109" t="s">
        <v>46</v>
      </c>
      <c r="K155" s="107"/>
      <c r="L155" s="110" t="s">
        <v>45</v>
      </c>
    </row>
    <row r="156" spans="1:12" ht="5.0999999999999996" customHeight="1" x14ac:dyDescent="0.25">
      <c r="A156" s="100"/>
      <c r="B156" s="221"/>
      <c r="C156" s="176"/>
      <c r="D156" s="112"/>
      <c r="E156" s="102"/>
      <c r="F156" s="102"/>
      <c r="G156" s="102"/>
      <c r="H156" s="101"/>
      <c r="I156" s="102"/>
      <c r="J156" s="102"/>
      <c r="K156" s="102"/>
      <c r="L156" s="180"/>
    </row>
    <row r="157" spans="1:12" ht="21.9" customHeight="1" x14ac:dyDescent="0.25">
      <c r="A157" s="100"/>
      <c r="B157" s="221"/>
      <c r="C157" s="176"/>
      <c r="D157" s="46"/>
      <c r="E157" s="46"/>
      <c r="F157" s="46"/>
      <c r="G157" s="46"/>
      <c r="H157" s="104"/>
      <c r="I157" s="46"/>
      <c r="J157" s="46"/>
      <c r="K157" s="46"/>
      <c r="L157" s="106"/>
    </row>
    <row r="158" spans="1:12" ht="5.0999999999999996" customHeight="1" thickBot="1" x14ac:dyDescent="0.3">
      <c r="A158" s="100"/>
      <c r="B158" s="231"/>
      <c r="C158" s="182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2" ht="24.6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</row>
    <row r="160" spans="1:12" ht="14.4" thickBot="1" x14ac:dyDescent="0.3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</row>
    <row r="161" spans="1:12" ht="28.35" customHeight="1" x14ac:dyDescent="0.25">
      <c r="A161" s="100"/>
      <c r="B161" s="214" t="s">
        <v>57</v>
      </c>
      <c r="C161" s="215"/>
      <c r="D161" s="215"/>
      <c r="E161" s="215"/>
      <c r="F161" s="215"/>
      <c r="G161" s="215"/>
      <c r="H161" s="215"/>
      <c r="I161" s="215"/>
      <c r="J161" s="215"/>
      <c r="K161" s="215"/>
      <c r="L161" s="216"/>
    </row>
    <row r="162" spans="1:12" ht="28.35" customHeight="1" x14ac:dyDescent="0.25">
      <c r="A162" s="100"/>
      <c r="B162" s="217"/>
      <c r="C162" s="218"/>
      <c r="D162" s="218"/>
      <c r="E162" s="218"/>
      <c r="F162" s="218"/>
      <c r="G162" s="218"/>
      <c r="H162" s="218"/>
      <c r="I162" s="218"/>
      <c r="J162" s="218"/>
      <c r="K162" s="218"/>
      <c r="L162" s="219"/>
    </row>
    <row r="163" spans="1:12" ht="21.9" customHeight="1" x14ac:dyDescent="0.25">
      <c r="A163" s="100"/>
      <c r="B163" s="220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106"/>
    </row>
    <row r="164" spans="1:12" ht="18" customHeight="1" x14ac:dyDescent="0.25">
      <c r="A164" s="100"/>
      <c r="B164" s="221"/>
      <c r="C164" s="38"/>
      <c r="D164" s="101"/>
      <c r="E164" s="211" t="s">
        <v>40</v>
      </c>
      <c r="F164" s="212"/>
      <c r="G164" s="213"/>
      <c r="H164" s="37" t="s">
        <v>41</v>
      </c>
      <c r="I164" s="211" t="s">
        <v>42</v>
      </c>
      <c r="J164" s="212"/>
      <c r="K164" s="213"/>
      <c r="L164" s="48" t="s">
        <v>41</v>
      </c>
    </row>
    <row r="165" spans="1:12" ht="5.0999999999999996" customHeight="1" x14ac:dyDescent="0.25">
      <c r="A165" s="100"/>
      <c r="B165" s="221"/>
      <c r="C165" s="208"/>
      <c r="D165" s="46"/>
      <c r="E165" s="107"/>
      <c r="F165" s="107"/>
      <c r="G165" s="107"/>
      <c r="H165" s="42"/>
      <c r="I165" s="107"/>
      <c r="J165" s="107"/>
      <c r="K165" s="107"/>
      <c r="L165" s="106"/>
    </row>
    <row r="166" spans="1:12" ht="15.9" customHeight="1" x14ac:dyDescent="0.25">
      <c r="A166" s="100"/>
      <c r="B166" s="221"/>
      <c r="C166" s="209"/>
      <c r="D166" s="177" t="s">
        <v>58</v>
      </c>
      <c r="E166" s="107"/>
      <c r="F166" s="78">
        <v>10000</v>
      </c>
      <c r="G166" s="75"/>
      <c r="H166" s="181" t="s">
        <v>45</v>
      </c>
      <c r="I166" s="107"/>
      <c r="J166" s="79" t="s">
        <v>46</v>
      </c>
      <c r="K166" s="107"/>
      <c r="L166" s="110" t="s">
        <v>69</v>
      </c>
    </row>
    <row r="167" spans="1:12" ht="5.0999999999999996" customHeight="1" x14ac:dyDescent="0.25">
      <c r="A167" s="100"/>
      <c r="B167" s="221"/>
      <c r="C167" s="210"/>
      <c r="D167" s="179"/>
      <c r="E167" s="102"/>
      <c r="F167" s="102"/>
      <c r="G167" s="102"/>
      <c r="H167" s="101"/>
      <c r="I167" s="102"/>
      <c r="J167" s="102"/>
      <c r="K167" s="102"/>
      <c r="L167" s="180"/>
    </row>
    <row r="168" spans="1:12" ht="5.0999999999999996" customHeight="1" x14ac:dyDescent="0.25">
      <c r="A168" s="100"/>
      <c r="B168" s="221"/>
      <c r="C168" s="209"/>
      <c r="D168" s="46"/>
      <c r="E168" s="107"/>
      <c r="F168" s="77"/>
      <c r="G168" s="107"/>
      <c r="H168" s="104"/>
      <c r="I168" s="107"/>
      <c r="J168" s="107"/>
      <c r="K168" s="107"/>
      <c r="L168" s="106"/>
    </row>
    <row r="169" spans="1:12" ht="15.9" customHeight="1" x14ac:dyDescent="0.25">
      <c r="A169" s="100"/>
      <c r="B169" s="221"/>
      <c r="C169" s="209"/>
      <c r="D169" s="177" t="s">
        <v>59</v>
      </c>
      <c r="E169" s="107"/>
      <c r="F169" s="74">
        <v>10000</v>
      </c>
      <c r="G169" s="75"/>
      <c r="H169" s="181" t="s">
        <v>45</v>
      </c>
      <c r="I169" s="107"/>
      <c r="J169" s="79" t="s">
        <v>46</v>
      </c>
      <c r="K169" s="107"/>
      <c r="L169" s="110" t="s">
        <v>69</v>
      </c>
    </row>
    <row r="170" spans="1:12" ht="5.0999999999999996" customHeight="1" x14ac:dyDescent="0.25">
      <c r="A170" s="100"/>
      <c r="B170" s="222"/>
      <c r="C170" s="210"/>
      <c r="D170" s="179"/>
      <c r="E170" s="102"/>
      <c r="F170" s="102"/>
      <c r="G170" s="102"/>
      <c r="H170" s="101"/>
      <c r="I170" s="102"/>
      <c r="J170" s="102"/>
      <c r="K170" s="102"/>
      <c r="L170" s="180"/>
    </row>
    <row r="171" spans="1:12" ht="21.9" customHeight="1" x14ac:dyDescent="0.25">
      <c r="A171" s="100"/>
      <c r="B171" s="220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106"/>
    </row>
    <row r="172" spans="1:12" ht="18" customHeight="1" x14ac:dyDescent="0.25">
      <c r="A172" s="100"/>
      <c r="B172" s="221"/>
      <c r="C172" s="38"/>
      <c r="D172" s="101"/>
      <c r="E172" s="211" t="s">
        <v>40</v>
      </c>
      <c r="F172" s="212"/>
      <c r="G172" s="213"/>
      <c r="H172" s="37" t="s">
        <v>41</v>
      </c>
      <c r="I172" s="211" t="s">
        <v>42</v>
      </c>
      <c r="J172" s="212"/>
      <c r="K172" s="213"/>
      <c r="L172" s="48" t="s">
        <v>41</v>
      </c>
    </row>
    <row r="173" spans="1:12" ht="5.0999999999999996" customHeight="1" x14ac:dyDescent="0.25">
      <c r="A173" s="100"/>
      <c r="B173" s="221"/>
      <c r="C173" s="208"/>
      <c r="D173" s="46"/>
      <c r="E173" s="107"/>
      <c r="F173" s="77"/>
      <c r="G173" s="107"/>
      <c r="H173" s="42"/>
      <c r="I173" s="107"/>
      <c r="J173" s="107"/>
      <c r="K173" s="107"/>
      <c r="L173" s="106"/>
    </row>
    <row r="174" spans="1:12" ht="15.9" customHeight="1" x14ac:dyDescent="0.25">
      <c r="A174" s="100"/>
      <c r="B174" s="221"/>
      <c r="C174" s="209"/>
      <c r="D174" s="177" t="s">
        <v>58</v>
      </c>
      <c r="E174" s="107"/>
      <c r="F174" s="76">
        <v>10000</v>
      </c>
      <c r="G174" s="75"/>
      <c r="H174" s="181" t="s">
        <v>45</v>
      </c>
      <c r="I174" s="107"/>
      <c r="J174" s="84" t="s">
        <v>46</v>
      </c>
      <c r="K174" s="107"/>
      <c r="L174" s="110" t="s">
        <v>69</v>
      </c>
    </row>
    <row r="175" spans="1:12" ht="5.0999999999999996" customHeight="1" x14ac:dyDescent="0.25">
      <c r="A175" s="100"/>
      <c r="B175" s="221"/>
      <c r="C175" s="210"/>
      <c r="D175" s="179"/>
      <c r="E175" s="102"/>
      <c r="F175" s="102"/>
      <c r="G175" s="102"/>
      <c r="H175" s="101"/>
      <c r="I175" s="102"/>
      <c r="J175" s="102"/>
      <c r="K175" s="102"/>
      <c r="L175" s="180"/>
    </row>
    <row r="176" spans="1:12" ht="5.0999999999999996" customHeight="1" x14ac:dyDescent="0.25">
      <c r="A176" s="100"/>
      <c r="B176" s="221"/>
      <c r="C176" s="209"/>
      <c r="D176" s="46"/>
      <c r="E176" s="107"/>
      <c r="F176" s="107"/>
      <c r="G176" s="107"/>
      <c r="H176" s="104"/>
      <c r="I176" s="107"/>
      <c r="J176" s="107"/>
      <c r="K176" s="107"/>
      <c r="L176" s="106"/>
    </row>
    <row r="177" spans="1:12" ht="15.9" customHeight="1" x14ac:dyDescent="0.25">
      <c r="A177" s="100"/>
      <c r="B177" s="221"/>
      <c r="C177" s="209"/>
      <c r="D177" s="177" t="s">
        <v>59</v>
      </c>
      <c r="E177" s="107"/>
      <c r="F177" s="74">
        <v>10000</v>
      </c>
      <c r="G177" s="75"/>
      <c r="H177" s="181" t="s">
        <v>45</v>
      </c>
      <c r="I177" s="107"/>
      <c r="J177" s="84" t="s">
        <v>46</v>
      </c>
      <c r="K177" s="107"/>
      <c r="L177" s="110" t="s">
        <v>69</v>
      </c>
    </row>
    <row r="178" spans="1:12" ht="5.0999999999999996" customHeight="1" thickBot="1" x14ac:dyDescent="0.3">
      <c r="A178" s="100"/>
      <c r="B178" s="231"/>
      <c r="C178" s="225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</row>
    <row r="180" spans="1:12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</row>
    <row r="181" spans="1:12" ht="28.35" customHeight="1" x14ac:dyDescent="0.25">
      <c r="A181" s="100"/>
      <c r="B181" s="226" t="s">
        <v>60</v>
      </c>
      <c r="C181" s="227"/>
      <c r="D181" s="227"/>
      <c r="E181" s="227"/>
      <c r="F181" s="227"/>
      <c r="G181" s="227"/>
      <c r="H181" s="227"/>
      <c r="I181" s="227"/>
      <c r="J181" s="227"/>
      <c r="K181" s="227"/>
      <c r="L181" s="228"/>
    </row>
    <row r="182" spans="1:12" ht="18" customHeight="1" x14ac:dyDescent="0.25">
      <c r="A182" s="100"/>
      <c r="B182" s="229"/>
      <c r="C182" s="46"/>
      <c r="D182" s="46"/>
      <c r="E182" s="46"/>
      <c r="F182" s="46"/>
      <c r="G182" s="46"/>
      <c r="H182" s="46"/>
      <c r="I182" s="46"/>
      <c r="J182" s="46"/>
      <c r="K182" s="46"/>
      <c r="L182" s="104"/>
    </row>
    <row r="183" spans="1:12" ht="17.100000000000001" customHeight="1" x14ac:dyDescent="0.25">
      <c r="A183" s="100"/>
      <c r="B183" s="229"/>
      <c r="C183" s="38"/>
      <c r="D183" s="101"/>
      <c r="E183" s="211" t="s">
        <v>42</v>
      </c>
      <c r="F183" s="212"/>
      <c r="G183" s="213"/>
      <c r="H183" s="211" t="s">
        <v>41</v>
      </c>
      <c r="I183" s="212"/>
      <c r="J183" s="212"/>
      <c r="K183" s="212"/>
      <c r="L183" s="213"/>
    </row>
    <row r="184" spans="1:12" ht="5.0999999999999996" customHeight="1" x14ac:dyDescent="0.25">
      <c r="A184" s="100"/>
      <c r="B184" s="229"/>
      <c r="C184" s="208"/>
      <c r="D184" s="46"/>
      <c r="E184" s="107"/>
      <c r="F184" s="107"/>
      <c r="G184" s="107"/>
      <c r="H184" s="46"/>
      <c r="I184" s="46"/>
      <c r="J184" s="46"/>
      <c r="K184" s="46"/>
      <c r="L184" s="104"/>
    </row>
    <row r="185" spans="1:12" ht="15.75" customHeight="1" x14ac:dyDescent="0.25">
      <c r="A185" s="100"/>
      <c r="B185" s="229"/>
      <c r="C185" s="209"/>
      <c r="D185" s="177" t="s">
        <v>44</v>
      </c>
      <c r="E185" s="107"/>
      <c r="F185" s="109" t="s">
        <v>46</v>
      </c>
      <c r="G185" s="107"/>
      <c r="H185" s="223" t="s">
        <v>45</v>
      </c>
      <c r="I185" s="223"/>
      <c r="J185" s="223"/>
      <c r="K185" s="223"/>
      <c r="L185" s="224"/>
    </row>
    <row r="186" spans="1:12" ht="5.0999999999999996" customHeight="1" x14ac:dyDescent="0.25">
      <c r="A186" s="100"/>
      <c r="B186" s="229"/>
      <c r="C186" s="210"/>
      <c r="D186" s="179"/>
      <c r="E186" s="102"/>
      <c r="F186" s="102"/>
      <c r="G186" s="102"/>
      <c r="H186" s="179"/>
      <c r="I186" s="179"/>
      <c r="J186" s="179"/>
      <c r="K186" s="179"/>
      <c r="L186" s="101"/>
    </row>
    <row r="187" spans="1:12" ht="5.0999999999999996" customHeight="1" x14ac:dyDescent="0.25">
      <c r="A187" s="100"/>
      <c r="B187" s="229"/>
      <c r="C187" s="209"/>
      <c r="D187" s="46"/>
      <c r="E187" s="107"/>
      <c r="F187" s="107"/>
      <c r="G187" s="107"/>
      <c r="H187" s="46"/>
      <c r="I187" s="46"/>
      <c r="J187" s="46"/>
      <c r="K187" s="46"/>
      <c r="L187" s="104"/>
    </row>
    <row r="188" spans="1:12" ht="15.75" customHeight="1" x14ac:dyDescent="0.25">
      <c r="A188" s="100"/>
      <c r="B188" s="229"/>
      <c r="C188" s="209"/>
      <c r="D188" s="177" t="s">
        <v>61</v>
      </c>
      <c r="E188" s="107"/>
      <c r="F188" s="107"/>
      <c r="G188" s="107"/>
      <c r="H188" s="46"/>
      <c r="I188" s="46"/>
      <c r="J188" s="46"/>
      <c r="K188" s="46"/>
      <c r="L188" s="104"/>
    </row>
    <row r="189" spans="1:12" ht="21.9" customHeight="1" x14ac:dyDescent="0.25">
      <c r="A189" s="100"/>
      <c r="B189" s="229"/>
      <c r="C189" s="176"/>
      <c r="D189" s="46"/>
      <c r="E189" s="46"/>
      <c r="F189" s="46"/>
      <c r="G189" s="46"/>
      <c r="H189" s="46"/>
      <c r="I189" s="46"/>
      <c r="J189" s="46"/>
      <c r="K189" s="46"/>
      <c r="L189" s="104"/>
    </row>
    <row r="190" spans="1:12" ht="5.0999999999999996" customHeight="1" x14ac:dyDescent="0.25">
      <c r="A190" s="100"/>
      <c r="B190" s="230"/>
      <c r="C190" s="178"/>
      <c r="D190" s="179"/>
      <c r="E190" s="179"/>
      <c r="F190" s="179"/>
      <c r="G190" s="179"/>
      <c r="H190" s="179"/>
      <c r="I190" s="179"/>
      <c r="J190" s="179"/>
      <c r="K190" s="179"/>
      <c r="L190" s="101"/>
    </row>
    <row r="191" spans="1:12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</row>
    <row r="192" spans="1:12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</row>
    <row r="193" spans="1:12" ht="28.3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</row>
    <row r="194" spans="1:12" ht="28.3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</row>
    <row r="195" spans="1:12" ht="18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</row>
    <row r="196" spans="1:12" ht="17.100000000000001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ht="5.0999999999999996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B182:B190"/>
    <mergeCell ref="E183:G183"/>
    <mergeCell ref="H183:L183"/>
    <mergeCell ref="C184:C186"/>
    <mergeCell ref="H185:L185"/>
    <mergeCell ref="C187:C188"/>
    <mergeCell ref="B181:L181"/>
    <mergeCell ref="B161:L161"/>
    <mergeCell ref="B162:L162"/>
    <mergeCell ref="B163:B170"/>
    <mergeCell ref="E164:G164"/>
    <mergeCell ref="I164:K164"/>
    <mergeCell ref="C165:C167"/>
    <mergeCell ref="C168:C170"/>
    <mergeCell ref="B171:B178"/>
    <mergeCell ref="E172:G172"/>
    <mergeCell ref="I172:K172"/>
    <mergeCell ref="C173:C175"/>
    <mergeCell ref="C176:C178"/>
    <mergeCell ref="B126:B158"/>
    <mergeCell ref="E127:G127"/>
    <mergeCell ref="I127:K127"/>
    <mergeCell ref="C128:C130"/>
    <mergeCell ref="C131:C133"/>
    <mergeCell ref="C134:C136"/>
    <mergeCell ref="C137:C139"/>
    <mergeCell ref="C140:C142"/>
    <mergeCell ref="C143:C144"/>
    <mergeCell ref="B53:L53"/>
    <mergeCell ref="B54:B125"/>
    <mergeCell ref="E55:G55"/>
    <mergeCell ref="I55:K55"/>
    <mergeCell ref="C56:C58"/>
    <mergeCell ref="C59:C61"/>
    <mergeCell ref="C62:C64"/>
    <mergeCell ref="C65:C67"/>
    <mergeCell ref="C68:C70"/>
    <mergeCell ref="C71:C72"/>
    <mergeCell ref="O33:O39"/>
    <mergeCell ref="C34:C36"/>
    <mergeCell ref="C37:C38"/>
    <mergeCell ref="D37:D38"/>
    <mergeCell ref="B52:L52"/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221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7221" r:id="rId4" name="cbApplyPageHeaderFormatting"/>
      </mc:Fallback>
    </mc:AlternateContent>
    <mc:AlternateContent xmlns:mc="http://schemas.openxmlformats.org/markup-compatibility/2006">
      <mc:Choice Requires="x14">
        <control shapeId="7213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7213" r:id="rId6" name="cbApplyOddEvenFormatting"/>
      </mc:Fallback>
    </mc:AlternateContent>
    <mc:AlternateContent xmlns:mc="http://schemas.openxmlformats.org/markup-compatibility/2006">
      <mc:Choice Requires="x14">
        <control shapeId="7195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7195" r:id="rId8" name="cbApplyMemberFormatting"/>
      </mc:Fallback>
    </mc:AlternateContent>
    <mc:AlternateContent xmlns:mc="http://schemas.openxmlformats.org/markup-compatibility/2006">
      <mc:Choice Requires="x14">
        <control shapeId="7169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7169" r:id="rId10" name="cbApplyLevelFormatting"/>
      </mc:Fallback>
    </mc:AlternateContent>
    <mc:AlternateContent xmlns:mc="http://schemas.openxmlformats.org/markup-compatibility/2006">
      <mc:Choice Requires="x14">
        <control shapeId="7170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7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137160</xdr:rowOff>
              </from>
              <to>
                <xdr:col>11</xdr:col>
                <xdr:colOff>1135380</xdr:colOff>
                <xdr:row>28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8" r:id="rId20" name="Group Box 10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9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0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</xdr:rowOff>
              </from>
              <to>
                <xdr:col>11</xdr:col>
                <xdr:colOff>2103120</xdr:colOff>
                <xdr:row>27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1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29</xdr:row>
                <xdr:rowOff>198120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2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3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4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30480</xdr:rowOff>
              </from>
              <to>
                <xdr:col>3</xdr:col>
                <xdr:colOff>2125980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5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30480</xdr:rowOff>
              </from>
              <to>
                <xdr:col>3</xdr:col>
                <xdr:colOff>4297680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6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144780</xdr:rowOff>
              </from>
              <to>
                <xdr:col>11</xdr:col>
                <xdr:colOff>1135380</xdr:colOff>
                <xdr:row>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7" r:id="rId29" name="Group Box 19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8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9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38100</xdr:rowOff>
              </from>
              <to>
                <xdr:col>11</xdr:col>
                <xdr:colOff>2103120</xdr:colOff>
                <xdr:row>6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0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9</xdr:row>
                <xdr:rowOff>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1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2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3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22860</xdr:rowOff>
              </from>
              <to>
                <xdr:col>3</xdr:col>
                <xdr:colOff>2125980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4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22860</xdr:rowOff>
              </from>
              <to>
                <xdr:col>3</xdr:col>
                <xdr:colOff>4297680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6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7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8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9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126</xdr:row>
                <xdr:rowOff>198120</xdr:rowOff>
              </from>
              <to>
                <xdr:col>2</xdr:col>
                <xdr:colOff>1021080</xdr:colOff>
                <xdr:row>129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0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129</xdr:row>
                <xdr:rowOff>45720</xdr:rowOff>
              </from>
              <to>
                <xdr:col>2</xdr:col>
                <xdr:colOff>1021080</xdr:colOff>
                <xdr:row>132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1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133</xdr:row>
                <xdr:rowOff>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2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136</xdr:row>
                <xdr:rowOff>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3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4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45720</xdr:rowOff>
              </from>
              <to>
                <xdr:col>2</xdr:col>
                <xdr:colOff>1021080</xdr:colOff>
                <xdr:row>144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123</xdr:row>
                <xdr:rowOff>22860</xdr:rowOff>
              </from>
              <to>
                <xdr:col>3</xdr:col>
                <xdr:colOff>4290060</xdr:colOff>
                <xdr:row>123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8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4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5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7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8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9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0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1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2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3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5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6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7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8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9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0" r:id="rId79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144</xdr:row>
                <xdr:rowOff>45720</xdr:rowOff>
              </from>
              <to>
                <xdr:col>13</xdr:col>
                <xdr:colOff>266700</xdr:colOff>
                <xdr:row>146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1" r:id="rId80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148</xdr:row>
                <xdr:rowOff>0</xdr:rowOff>
              </from>
              <to>
                <xdr:col>13</xdr:col>
                <xdr:colOff>266700</xdr:colOff>
                <xdr:row>149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2" r:id="rId81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151</xdr:row>
                <xdr:rowOff>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3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4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120</xdr:row>
                <xdr:rowOff>45720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5" r:id="rId84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153</xdr:row>
                <xdr:rowOff>45720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2018-06-13T11:58:33Z</dcterms:modified>
</cp:coreProperties>
</file>