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5880" windowWidth="15480" windowHeight="5985" tabRatio="931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Prog" sheetId="16" r:id="rId12"/>
    <sheet name="Gràfics 6" sheetId="54" r:id="rId13"/>
    <sheet name="DOrg" sheetId="13" r:id="rId14"/>
    <sheet name="Gràfics 7" sheetId="55" r:id="rId15"/>
    <sheet name="DCap 01" sheetId="20" r:id="rId16"/>
    <sheet name="Gràfics 8" sheetId="56" r:id="rId17"/>
    <sheet name="DCap 02" sheetId="24" r:id="rId18"/>
    <sheet name="Gràfics 9" sheetId="57" r:id="rId19"/>
    <sheet name="DCap 04" sheetId="26" r:id="rId20"/>
    <sheet name="Gràfics 10" sheetId="58" r:id="rId21"/>
    <sheet name="DCap 0501" sheetId="27" r:id="rId22"/>
    <sheet name="Gràfics 11" sheetId="59" r:id="rId23"/>
    <sheet name="DCap 0502" sheetId="25" r:id="rId24"/>
    <sheet name="Gràfics 12" sheetId="60" r:id="rId25"/>
    <sheet name="DCap 0503" sheetId="46" r:id="rId26"/>
    <sheet name="Gràfics 13" sheetId="61" r:id="rId27"/>
    <sheet name="DCap 0504" sheetId="47" r:id="rId28"/>
    <sheet name="Gràfics 14" sheetId="62" r:id="rId29"/>
    <sheet name="DCap 0701" sheetId="21" r:id="rId30"/>
    <sheet name="Gràfics 15" sheetId="63" r:id="rId31"/>
    <sheet name="DCap 0702" sheetId="67" r:id="rId32"/>
    <sheet name="Gràfics 16" sheetId="69" r:id="rId33"/>
    <sheet name="DCap 0703" sheetId="23" r:id="rId34"/>
    <sheet name="Gràfics 17" sheetId="64" r:id="rId35"/>
    <sheet name="DCap 08" sheetId="22" r:id="rId36"/>
    <sheet name="Gràfics 18" sheetId="66" r:id="rId37"/>
    <sheet name="DCap 06" sheetId="28" r:id="rId38"/>
    <sheet name="Gràfics 19" sheetId="65" r:id="rId39"/>
    <sheet name="Full de control" sheetId="42" r:id="rId40"/>
  </sheets>
  <definedNames>
    <definedName name="__FPMExcelClient_CellBasedFunctionStatus" localSheetId="7" hidden="1">"2_2_2_2_2"</definedName>
    <definedName name="__FPMExcelClient_CellBasedFunctionStatus" localSheetId="15" hidden="1">"2_2_2_2_2"</definedName>
    <definedName name="__FPMExcelClient_CellBasedFunctionStatus" localSheetId="17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3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9" hidden="1">"2_2_2_2_2"</definedName>
    <definedName name="__FPMExcelClient_CellBasedFunctionStatus" localSheetId="13" hidden="1">"2_2_2_2_2"</definedName>
    <definedName name="__FPMExcelClient_CellBasedFunctionStatus" localSheetId="11" hidden="1">"2_2_2_2_2"</definedName>
    <definedName name="__FPMExcelClient_CellBasedFunctionStatus" localSheetId="39" hidden="1">"2_2_2_2_2"</definedName>
    <definedName name="__FPMExcelClient_CellBasedFunctionStatus" localSheetId="2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2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8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9">DDetallCorrent!$A$1:$M$129</definedName>
    <definedName name="_xlnm.Print_Area" localSheetId="13">DOrg!$A$1:$M$58</definedName>
    <definedName name="_xlnm.Print_Area" localSheetId="11">DProg!$A$1:$M$155</definedName>
    <definedName name="_xlnm.Print_Area" localSheetId="32">'Gràfics 16'!$A$1:$N$36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2">'Gràfics 6'!$A$1:$M$35</definedName>
    <definedName name="_xlnm.Print_Area" localSheetId="14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Indicadors!$A$1:$J$37</definedName>
    <definedName name="DATA1" localSheetId="27">#REF!</definedName>
    <definedName name="DATA1" localSheetId="31">#REF!</definedName>
    <definedName name="DATA1" localSheetId="9">#REF!</definedName>
    <definedName name="DATA1" localSheetId="2">#REF!</definedName>
    <definedName name="DATA1" localSheetId="20">#REF!</definedName>
    <definedName name="DATA1" localSheetId="22">#REF!</definedName>
    <definedName name="DATA1" localSheetId="24">#REF!</definedName>
    <definedName name="DATA1" localSheetId="26">#REF!</definedName>
    <definedName name="DATA1" localSheetId="28">#REF!</definedName>
    <definedName name="DATA1" localSheetId="30">#REF!</definedName>
    <definedName name="DATA1" localSheetId="34">#REF!</definedName>
    <definedName name="DATA1" localSheetId="36">#REF!</definedName>
    <definedName name="DATA1" localSheetId="38">#REF!</definedName>
    <definedName name="DATA1" localSheetId="4">#REF!</definedName>
    <definedName name="DATA1" localSheetId="6">#REF!</definedName>
    <definedName name="DATA1" localSheetId="8">#REF!</definedName>
    <definedName name="DATA1" localSheetId="10">#REF!</definedName>
    <definedName name="DATA1" localSheetId="12">#REF!</definedName>
    <definedName name="DATA1" localSheetId="14">#REF!</definedName>
    <definedName name="DATA1" localSheetId="16">#REF!</definedName>
    <definedName name="DATA1" localSheetId="18">#REF!</definedName>
    <definedName name="DATA1" localSheetId="5">#REF!</definedName>
    <definedName name="DATA1" localSheetId="3">#REF!</definedName>
    <definedName name="DATA1">#REF!</definedName>
    <definedName name="DATA10" localSheetId="27">#REF!</definedName>
    <definedName name="DATA10" localSheetId="31">#REF!</definedName>
    <definedName name="DATA10" localSheetId="9">#REF!</definedName>
    <definedName name="DATA10" localSheetId="2">#REF!</definedName>
    <definedName name="DATA10" localSheetId="20">#REF!</definedName>
    <definedName name="DATA10" localSheetId="22">#REF!</definedName>
    <definedName name="DATA10" localSheetId="24">#REF!</definedName>
    <definedName name="DATA10" localSheetId="26">#REF!</definedName>
    <definedName name="DATA10" localSheetId="28">#REF!</definedName>
    <definedName name="DATA10" localSheetId="30">#REF!</definedName>
    <definedName name="DATA10" localSheetId="34">#REF!</definedName>
    <definedName name="DATA10" localSheetId="36">#REF!</definedName>
    <definedName name="DATA10" localSheetId="38">#REF!</definedName>
    <definedName name="DATA10" localSheetId="4">#REF!</definedName>
    <definedName name="DATA10" localSheetId="6">#REF!</definedName>
    <definedName name="DATA10" localSheetId="8">#REF!</definedName>
    <definedName name="DATA10" localSheetId="10">#REF!</definedName>
    <definedName name="DATA10" localSheetId="12">#REF!</definedName>
    <definedName name="DATA10" localSheetId="14">#REF!</definedName>
    <definedName name="DATA10" localSheetId="16">#REF!</definedName>
    <definedName name="DATA10" localSheetId="18">#REF!</definedName>
    <definedName name="DATA10" localSheetId="5">#REF!</definedName>
    <definedName name="DATA10" localSheetId="3">#REF!</definedName>
    <definedName name="DATA10">#REF!</definedName>
    <definedName name="DATA11" localSheetId="27">#REF!</definedName>
    <definedName name="DATA11" localSheetId="31">#REF!</definedName>
    <definedName name="DATA11" localSheetId="9">#REF!</definedName>
    <definedName name="DATA11" localSheetId="2">#REF!</definedName>
    <definedName name="DATA11" localSheetId="20">#REF!</definedName>
    <definedName name="DATA11" localSheetId="22">#REF!</definedName>
    <definedName name="DATA11" localSheetId="24">#REF!</definedName>
    <definedName name="DATA11" localSheetId="26">#REF!</definedName>
    <definedName name="DATA11" localSheetId="28">#REF!</definedName>
    <definedName name="DATA11" localSheetId="30">#REF!</definedName>
    <definedName name="DATA11" localSheetId="34">#REF!</definedName>
    <definedName name="DATA11" localSheetId="36">#REF!</definedName>
    <definedName name="DATA11" localSheetId="38">#REF!</definedName>
    <definedName name="DATA11" localSheetId="4">#REF!</definedName>
    <definedName name="DATA11" localSheetId="6">#REF!</definedName>
    <definedName name="DATA11" localSheetId="8">#REF!</definedName>
    <definedName name="DATA11" localSheetId="10">#REF!</definedName>
    <definedName name="DATA11" localSheetId="12">#REF!</definedName>
    <definedName name="DATA11" localSheetId="14">#REF!</definedName>
    <definedName name="DATA11" localSheetId="16">#REF!</definedName>
    <definedName name="DATA11" localSheetId="18">#REF!</definedName>
    <definedName name="DATA11" localSheetId="5">#REF!</definedName>
    <definedName name="DATA11" localSheetId="3">#REF!</definedName>
    <definedName name="DATA11">#REF!</definedName>
    <definedName name="DATA12" localSheetId="27">#REF!</definedName>
    <definedName name="DATA12" localSheetId="31">#REF!</definedName>
    <definedName name="DATA12" localSheetId="9">#REF!</definedName>
    <definedName name="DATA12" localSheetId="2">#REF!</definedName>
    <definedName name="DATA12" localSheetId="20">#REF!</definedName>
    <definedName name="DATA12" localSheetId="22">#REF!</definedName>
    <definedName name="DATA12" localSheetId="24">#REF!</definedName>
    <definedName name="DATA12" localSheetId="26">#REF!</definedName>
    <definedName name="DATA12" localSheetId="28">#REF!</definedName>
    <definedName name="DATA12" localSheetId="30">#REF!</definedName>
    <definedName name="DATA12" localSheetId="34">#REF!</definedName>
    <definedName name="DATA12" localSheetId="36">#REF!</definedName>
    <definedName name="DATA12" localSheetId="38">#REF!</definedName>
    <definedName name="DATA12" localSheetId="4">#REF!</definedName>
    <definedName name="DATA12" localSheetId="6">#REF!</definedName>
    <definedName name="DATA12" localSheetId="8">#REF!</definedName>
    <definedName name="DATA12" localSheetId="10">#REF!</definedName>
    <definedName name="DATA12" localSheetId="12">#REF!</definedName>
    <definedName name="DATA12" localSheetId="14">#REF!</definedName>
    <definedName name="DATA12" localSheetId="16">#REF!</definedName>
    <definedName name="DATA12" localSheetId="18">#REF!</definedName>
    <definedName name="DATA12" localSheetId="5">#REF!</definedName>
    <definedName name="DATA12" localSheetId="3">#REF!</definedName>
    <definedName name="DATA12">#REF!</definedName>
    <definedName name="DATA13" localSheetId="27">#REF!</definedName>
    <definedName name="DATA13" localSheetId="31">#REF!</definedName>
    <definedName name="DATA13" localSheetId="9">#REF!</definedName>
    <definedName name="DATA13" localSheetId="2">#REF!</definedName>
    <definedName name="DATA13" localSheetId="20">#REF!</definedName>
    <definedName name="DATA13" localSheetId="22">#REF!</definedName>
    <definedName name="DATA13" localSheetId="24">#REF!</definedName>
    <definedName name="DATA13" localSheetId="26">#REF!</definedName>
    <definedName name="DATA13" localSheetId="28">#REF!</definedName>
    <definedName name="DATA13" localSheetId="30">#REF!</definedName>
    <definedName name="DATA13" localSheetId="34">#REF!</definedName>
    <definedName name="DATA13" localSheetId="36">#REF!</definedName>
    <definedName name="DATA13" localSheetId="38">#REF!</definedName>
    <definedName name="DATA13" localSheetId="4">#REF!</definedName>
    <definedName name="DATA13" localSheetId="6">#REF!</definedName>
    <definedName name="DATA13" localSheetId="8">#REF!</definedName>
    <definedName name="DATA13" localSheetId="10">#REF!</definedName>
    <definedName name="DATA13" localSheetId="12">#REF!</definedName>
    <definedName name="DATA13" localSheetId="14">#REF!</definedName>
    <definedName name="DATA13" localSheetId="16">#REF!</definedName>
    <definedName name="DATA13" localSheetId="18">#REF!</definedName>
    <definedName name="DATA13" localSheetId="5">#REF!</definedName>
    <definedName name="DATA13" localSheetId="3">#REF!</definedName>
    <definedName name="DATA13">#REF!</definedName>
    <definedName name="DATA14" localSheetId="27">#REF!</definedName>
    <definedName name="DATA14" localSheetId="31">#REF!</definedName>
    <definedName name="DATA14" localSheetId="9">#REF!</definedName>
    <definedName name="DATA14" localSheetId="2">#REF!</definedName>
    <definedName name="DATA14" localSheetId="20">#REF!</definedName>
    <definedName name="DATA14" localSheetId="22">#REF!</definedName>
    <definedName name="DATA14" localSheetId="24">#REF!</definedName>
    <definedName name="DATA14" localSheetId="26">#REF!</definedName>
    <definedName name="DATA14" localSheetId="28">#REF!</definedName>
    <definedName name="DATA14" localSheetId="30">#REF!</definedName>
    <definedName name="DATA14" localSheetId="34">#REF!</definedName>
    <definedName name="DATA14" localSheetId="36">#REF!</definedName>
    <definedName name="DATA14" localSheetId="38">#REF!</definedName>
    <definedName name="DATA14" localSheetId="4">#REF!</definedName>
    <definedName name="DATA14" localSheetId="6">#REF!</definedName>
    <definedName name="DATA14" localSheetId="8">#REF!</definedName>
    <definedName name="DATA14" localSheetId="10">#REF!</definedName>
    <definedName name="DATA14" localSheetId="12">#REF!</definedName>
    <definedName name="DATA14" localSheetId="14">#REF!</definedName>
    <definedName name="DATA14" localSheetId="16">#REF!</definedName>
    <definedName name="DATA14" localSheetId="18">#REF!</definedName>
    <definedName name="DATA14" localSheetId="5">#REF!</definedName>
    <definedName name="DATA14" localSheetId="3">#REF!</definedName>
    <definedName name="DATA14">#REF!</definedName>
    <definedName name="DATA2" localSheetId="27">#REF!</definedName>
    <definedName name="DATA2" localSheetId="31">#REF!</definedName>
    <definedName name="DATA2" localSheetId="9">#REF!</definedName>
    <definedName name="DATA2" localSheetId="2">#REF!</definedName>
    <definedName name="DATA2" localSheetId="20">#REF!</definedName>
    <definedName name="DATA2" localSheetId="22">#REF!</definedName>
    <definedName name="DATA2" localSheetId="24">#REF!</definedName>
    <definedName name="DATA2" localSheetId="26">#REF!</definedName>
    <definedName name="DATA2" localSheetId="28">#REF!</definedName>
    <definedName name="DATA2" localSheetId="30">#REF!</definedName>
    <definedName name="DATA2" localSheetId="34">#REF!</definedName>
    <definedName name="DATA2" localSheetId="36">#REF!</definedName>
    <definedName name="DATA2" localSheetId="38">#REF!</definedName>
    <definedName name="DATA2" localSheetId="4">#REF!</definedName>
    <definedName name="DATA2" localSheetId="6">#REF!</definedName>
    <definedName name="DATA2" localSheetId="8">#REF!</definedName>
    <definedName name="DATA2" localSheetId="10">#REF!</definedName>
    <definedName name="DATA2" localSheetId="12">#REF!</definedName>
    <definedName name="DATA2" localSheetId="14">#REF!</definedName>
    <definedName name="DATA2" localSheetId="16">#REF!</definedName>
    <definedName name="DATA2" localSheetId="18">#REF!</definedName>
    <definedName name="DATA2" localSheetId="5">#REF!</definedName>
    <definedName name="DATA2" localSheetId="3">#REF!</definedName>
    <definedName name="DATA2">#REF!</definedName>
    <definedName name="DATA3" localSheetId="27">#REF!</definedName>
    <definedName name="DATA3" localSheetId="31">#REF!</definedName>
    <definedName name="DATA3" localSheetId="9">#REF!</definedName>
    <definedName name="DATA3" localSheetId="2">#REF!</definedName>
    <definedName name="DATA3" localSheetId="20">#REF!</definedName>
    <definedName name="DATA3" localSheetId="22">#REF!</definedName>
    <definedName name="DATA3" localSheetId="24">#REF!</definedName>
    <definedName name="DATA3" localSheetId="26">#REF!</definedName>
    <definedName name="DATA3" localSheetId="28">#REF!</definedName>
    <definedName name="DATA3" localSheetId="30">#REF!</definedName>
    <definedName name="DATA3" localSheetId="34">#REF!</definedName>
    <definedName name="DATA3" localSheetId="36">#REF!</definedName>
    <definedName name="DATA3" localSheetId="38">#REF!</definedName>
    <definedName name="DATA3" localSheetId="4">#REF!</definedName>
    <definedName name="DATA3" localSheetId="6">#REF!</definedName>
    <definedName name="DATA3" localSheetId="8">#REF!</definedName>
    <definedName name="DATA3" localSheetId="10">#REF!</definedName>
    <definedName name="DATA3" localSheetId="12">#REF!</definedName>
    <definedName name="DATA3" localSheetId="14">#REF!</definedName>
    <definedName name="DATA3" localSheetId="16">#REF!</definedName>
    <definedName name="DATA3" localSheetId="18">#REF!</definedName>
    <definedName name="DATA3" localSheetId="5">#REF!</definedName>
    <definedName name="DATA3" localSheetId="3">#REF!</definedName>
    <definedName name="DATA3">#REF!</definedName>
    <definedName name="DATA4" localSheetId="27">#REF!</definedName>
    <definedName name="DATA4" localSheetId="31">#REF!</definedName>
    <definedName name="DATA4" localSheetId="9">#REF!</definedName>
    <definedName name="DATA4" localSheetId="2">#REF!</definedName>
    <definedName name="DATA4" localSheetId="20">#REF!</definedName>
    <definedName name="DATA4" localSheetId="22">#REF!</definedName>
    <definedName name="DATA4" localSheetId="24">#REF!</definedName>
    <definedName name="DATA4" localSheetId="26">#REF!</definedName>
    <definedName name="DATA4" localSheetId="28">#REF!</definedName>
    <definedName name="DATA4" localSheetId="30">#REF!</definedName>
    <definedName name="DATA4" localSheetId="34">#REF!</definedName>
    <definedName name="DATA4" localSheetId="36">#REF!</definedName>
    <definedName name="DATA4" localSheetId="38">#REF!</definedName>
    <definedName name="DATA4" localSheetId="4">#REF!</definedName>
    <definedName name="DATA4" localSheetId="6">#REF!</definedName>
    <definedName name="DATA4" localSheetId="8">#REF!</definedName>
    <definedName name="DATA4" localSheetId="10">#REF!</definedName>
    <definedName name="DATA4" localSheetId="12">#REF!</definedName>
    <definedName name="DATA4" localSheetId="14">#REF!</definedName>
    <definedName name="DATA4" localSheetId="16">#REF!</definedName>
    <definedName name="DATA4" localSheetId="18">#REF!</definedName>
    <definedName name="DATA4" localSheetId="5">#REF!</definedName>
    <definedName name="DATA4" localSheetId="3">#REF!</definedName>
    <definedName name="DATA4">#REF!</definedName>
    <definedName name="DATA5" localSheetId="27">#REF!</definedName>
    <definedName name="DATA5" localSheetId="31">#REF!</definedName>
    <definedName name="DATA5" localSheetId="9">#REF!</definedName>
    <definedName name="DATA5" localSheetId="2">#REF!</definedName>
    <definedName name="DATA5" localSheetId="20">#REF!</definedName>
    <definedName name="DATA5" localSheetId="22">#REF!</definedName>
    <definedName name="DATA5" localSheetId="24">#REF!</definedName>
    <definedName name="DATA5" localSheetId="26">#REF!</definedName>
    <definedName name="DATA5" localSheetId="28">#REF!</definedName>
    <definedName name="DATA5" localSheetId="30">#REF!</definedName>
    <definedName name="DATA5" localSheetId="34">#REF!</definedName>
    <definedName name="DATA5" localSheetId="36">#REF!</definedName>
    <definedName name="DATA5" localSheetId="38">#REF!</definedName>
    <definedName name="DATA5" localSheetId="4">#REF!</definedName>
    <definedName name="DATA5" localSheetId="6">#REF!</definedName>
    <definedName name="DATA5" localSheetId="8">#REF!</definedName>
    <definedName name="DATA5" localSheetId="10">#REF!</definedName>
    <definedName name="DATA5" localSheetId="12">#REF!</definedName>
    <definedName name="DATA5" localSheetId="14">#REF!</definedName>
    <definedName name="DATA5" localSheetId="16">#REF!</definedName>
    <definedName name="DATA5" localSheetId="18">#REF!</definedName>
    <definedName name="DATA5" localSheetId="5">#REF!</definedName>
    <definedName name="DATA5" localSheetId="3">#REF!</definedName>
    <definedName name="DATA5">#REF!</definedName>
    <definedName name="DATA6" localSheetId="27">#REF!</definedName>
    <definedName name="DATA6" localSheetId="31">#REF!</definedName>
    <definedName name="DATA6" localSheetId="9">#REF!</definedName>
    <definedName name="DATA6" localSheetId="2">#REF!</definedName>
    <definedName name="DATA6" localSheetId="20">#REF!</definedName>
    <definedName name="DATA6" localSheetId="22">#REF!</definedName>
    <definedName name="DATA6" localSheetId="24">#REF!</definedName>
    <definedName name="DATA6" localSheetId="26">#REF!</definedName>
    <definedName name="DATA6" localSheetId="28">#REF!</definedName>
    <definedName name="DATA6" localSheetId="30">#REF!</definedName>
    <definedName name="DATA6" localSheetId="34">#REF!</definedName>
    <definedName name="DATA6" localSheetId="36">#REF!</definedName>
    <definedName name="DATA6" localSheetId="38">#REF!</definedName>
    <definedName name="DATA6" localSheetId="4">#REF!</definedName>
    <definedName name="DATA6" localSheetId="6">#REF!</definedName>
    <definedName name="DATA6" localSheetId="8">#REF!</definedName>
    <definedName name="DATA6" localSheetId="10">#REF!</definedName>
    <definedName name="DATA6" localSheetId="12">#REF!</definedName>
    <definedName name="DATA6" localSheetId="14">#REF!</definedName>
    <definedName name="DATA6" localSheetId="16">#REF!</definedName>
    <definedName name="DATA6" localSheetId="18">#REF!</definedName>
    <definedName name="DATA6" localSheetId="5">#REF!</definedName>
    <definedName name="DATA6" localSheetId="3">#REF!</definedName>
    <definedName name="DATA6">#REF!</definedName>
    <definedName name="DATA7" localSheetId="27">#REF!</definedName>
    <definedName name="DATA7" localSheetId="31">#REF!</definedName>
    <definedName name="DATA7" localSheetId="9">#REF!</definedName>
    <definedName name="DATA7" localSheetId="2">#REF!</definedName>
    <definedName name="DATA7" localSheetId="20">#REF!</definedName>
    <definedName name="DATA7" localSheetId="22">#REF!</definedName>
    <definedName name="DATA7" localSheetId="24">#REF!</definedName>
    <definedName name="DATA7" localSheetId="26">#REF!</definedName>
    <definedName name="DATA7" localSheetId="28">#REF!</definedName>
    <definedName name="DATA7" localSheetId="30">#REF!</definedName>
    <definedName name="DATA7" localSheetId="34">#REF!</definedName>
    <definedName name="DATA7" localSheetId="36">#REF!</definedName>
    <definedName name="DATA7" localSheetId="38">#REF!</definedName>
    <definedName name="DATA7" localSheetId="4">#REF!</definedName>
    <definedName name="DATA7" localSheetId="6">#REF!</definedName>
    <definedName name="DATA7" localSheetId="8">#REF!</definedName>
    <definedName name="DATA7" localSheetId="10">#REF!</definedName>
    <definedName name="DATA7" localSheetId="12">#REF!</definedName>
    <definedName name="DATA7" localSheetId="14">#REF!</definedName>
    <definedName name="DATA7" localSheetId="16">#REF!</definedName>
    <definedName name="DATA7" localSheetId="18">#REF!</definedName>
    <definedName name="DATA7" localSheetId="5">#REF!</definedName>
    <definedName name="DATA7" localSheetId="3">#REF!</definedName>
    <definedName name="DATA7">#REF!</definedName>
    <definedName name="DATA8" localSheetId="27">#REF!</definedName>
    <definedName name="DATA8" localSheetId="31">#REF!</definedName>
    <definedName name="DATA8" localSheetId="9">#REF!</definedName>
    <definedName name="DATA8" localSheetId="2">#REF!</definedName>
    <definedName name="DATA8" localSheetId="20">#REF!</definedName>
    <definedName name="DATA8" localSheetId="22">#REF!</definedName>
    <definedName name="DATA8" localSheetId="24">#REF!</definedName>
    <definedName name="DATA8" localSheetId="26">#REF!</definedName>
    <definedName name="DATA8" localSheetId="28">#REF!</definedName>
    <definedName name="DATA8" localSheetId="30">#REF!</definedName>
    <definedName name="DATA8" localSheetId="34">#REF!</definedName>
    <definedName name="DATA8" localSheetId="36">#REF!</definedName>
    <definedName name="DATA8" localSheetId="38">#REF!</definedName>
    <definedName name="DATA8" localSheetId="4">#REF!</definedName>
    <definedName name="DATA8" localSheetId="6">#REF!</definedName>
    <definedName name="DATA8" localSheetId="8">#REF!</definedName>
    <definedName name="DATA8" localSheetId="10">#REF!</definedName>
    <definedName name="DATA8" localSheetId="12">#REF!</definedName>
    <definedName name="DATA8" localSheetId="14">#REF!</definedName>
    <definedName name="DATA8" localSheetId="16">#REF!</definedName>
    <definedName name="DATA8" localSheetId="18">#REF!</definedName>
    <definedName name="DATA8" localSheetId="5">#REF!</definedName>
    <definedName name="DATA8" localSheetId="3">#REF!</definedName>
    <definedName name="DATA8">#REF!</definedName>
    <definedName name="DATA9" localSheetId="27">#REF!</definedName>
    <definedName name="DATA9" localSheetId="31">#REF!</definedName>
    <definedName name="DATA9" localSheetId="9">#REF!</definedName>
    <definedName name="DATA9" localSheetId="2">#REF!</definedName>
    <definedName name="DATA9" localSheetId="20">#REF!</definedName>
    <definedName name="DATA9" localSheetId="22">#REF!</definedName>
    <definedName name="DATA9" localSheetId="24">#REF!</definedName>
    <definedName name="DATA9" localSheetId="26">#REF!</definedName>
    <definedName name="DATA9" localSheetId="28">#REF!</definedName>
    <definedName name="DATA9" localSheetId="30">#REF!</definedName>
    <definedName name="DATA9" localSheetId="34">#REF!</definedName>
    <definedName name="DATA9" localSheetId="36">#REF!</definedName>
    <definedName name="DATA9" localSheetId="38">#REF!</definedName>
    <definedName name="DATA9" localSheetId="4">#REF!</definedName>
    <definedName name="DATA9" localSheetId="6">#REF!</definedName>
    <definedName name="DATA9" localSheetId="8">#REF!</definedName>
    <definedName name="DATA9" localSheetId="10">#REF!</definedName>
    <definedName name="DATA9" localSheetId="12">#REF!</definedName>
    <definedName name="DATA9" localSheetId="14">#REF!</definedName>
    <definedName name="DATA9" localSheetId="16">#REF!</definedName>
    <definedName name="DATA9" localSheetId="18">#REF!</definedName>
    <definedName name="DATA9" localSheetId="5">#REF!</definedName>
    <definedName name="DATA9" localSheetId="3">#REF!</definedName>
    <definedName name="DATA9">#REF!</definedName>
    <definedName name="DATAA">#REF!</definedName>
    <definedName name="DATAA10">#REF!</definedName>
    <definedName name="DATAA111">#REF!</definedName>
    <definedName name="Print_Area" localSheetId="7">DCap!$A$1:$P$34</definedName>
    <definedName name="Print_Area" localSheetId="25">'DCap 0503'!$A$1:$M$16</definedName>
    <definedName name="Print_Area" localSheetId="27">'DCap 0504'!$A$1:$M$16</definedName>
    <definedName name="Print_Area" localSheetId="9">DDetallCorrent!$A$1:$M$129</definedName>
    <definedName name="Print_Area" localSheetId="11">DProg!$A$1:$M$154</definedName>
    <definedName name="Print_Area" localSheetId="2">'Gràfics 1'!$A$1:$N$19</definedName>
    <definedName name="Print_Area" localSheetId="26">'Gràfics 13'!$A$3:$M$17</definedName>
    <definedName name="Print_Area" localSheetId="28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2">'Gràfics 6'!$A$1:$M$35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7">#REF!</definedName>
    <definedName name="TEST0" localSheetId="31">#REF!</definedName>
    <definedName name="TEST0" localSheetId="9">#REF!</definedName>
    <definedName name="TEST0" localSheetId="2">#REF!</definedName>
    <definedName name="TEST0" localSheetId="20">#REF!</definedName>
    <definedName name="TEST0" localSheetId="22">#REF!</definedName>
    <definedName name="TEST0" localSheetId="24">#REF!</definedName>
    <definedName name="TEST0" localSheetId="26">#REF!</definedName>
    <definedName name="TEST0" localSheetId="28">#REF!</definedName>
    <definedName name="TEST0" localSheetId="30">#REF!</definedName>
    <definedName name="TEST0" localSheetId="34">#REF!</definedName>
    <definedName name="TEST0" localSheetId="36">#REF!</definedName>
    <definedName name="TEST0" localSheetId="38">#REF!</definedName>
    <definedName name="TEST0" localSheetId="4">#REF!</definedName>
    <definedName name="TEST0" localSheetId="6">#REF!</definedName>
    <definedName name="TEST0" localSheetId="8">#REF!</definedName>
    <definedName name="TEST0" localSheetId="10">#REF!</definedName>
    <definedName name="TEST0" localSheetId="12">#REF!</definedName>
    <definedName name="TEST0" localSheetId="14">#REF!</definedName>
    <definedName name="TEST0" localSheetId="16">#REF!</definedName>
    <definedName name="TEST0" localSheetId="18">#REF!</definedName>
    <definedName name="TEST0" localSheetId="5">#REF!</definedName>
    <definedName name="TEST0" localSheetId="3">#REF!</definedName>
    <definedName name="TEST0">#REF!</definedName>
    <definedName name="TESTHKEY" localSheetId="27">#REF!</definedName>
    <definedName name="TESTHKEY" localSheetId="31">#REF!</definedName>
    <definedName name="TESTHKEY" localSheetId="9">#REF!</definedName>
    <definedName name="TESTHKEY" localSheetId="2">#REF!</definedName>
    <definedName name="TESTHKEY" localSheetId="20">#REF!</definedName>
    <definedName name="TESTHKEY" localSheetId="22">#REF!</definedName>
    <definedName name="TESTHKEY" localSheetId="24">#REF!</definedName>
    <definedName name="TESTHKEY" localSheetId="26">#REF!</definedName>
    <definedName name="TESTHKEY" localSheetId="28">#REF!</definedName>
    <definedName name="TESTHKEY" localSheetId="30">#REF!</definedName>
    <definedName name="TESTHKEY" localSheetId="34">#REF!</definedName>
    <definedName name="TESTHKEY" localSheetId="36">#REF!</definedName>
    <definedName name="TESTHKEY" localSheetId="38">#REF!</definedName>
    <definedName name="TESTHKEY" localSheetId="4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2">#REF!</definedName>
    <definedName name="TESTHKEY" localSheetId="14">#REF!</definedName>
    <definedName name="TESTHKEY" localSheetId="16">#REF!</definedName>
    <definedName name="TESTHKEY" localSheetId="18">#REF!</definedName>
    <definedName name="TESTHKEY" localSheetId="5">#REF!</definedName>
    <definedName name="TESTHKEY" localSheetId="3">#REF!</definedName>
    <definedName name="TESTHKEY">#REF!</definedName>
    <definedName name="TESTKEYS" localSheetId="27">#REF!</definedName>
    <definedName name="TESTKEYS" localSheetId="31">#REF!</definedName>
    <definedName name="TESTKEYS" localSheetId="9">#REF!</definedName>
    <definedName name="TESTKEYS" localSheetId="2">#REF!</definedName>
    <definedName name="TESTKEYS" localSheetId="20">#REF!</definedName>
    <definedName name="TESTKEYS" localSheetId="22">#REF!</definedName>
    <definedName name="TESTKEYS" localSheetId="24">#REF!</definedName>
    <definedName name="TESTKEYS" localSheetId="26">#REF!</definedName>
    <definedName name="TESTKEYS" localSheetId="28">#REF!</definedName>
    <definedName name="TESTKEYS" localSheetId="30">#REF!</definedName>
    <definedName name="TESTKEYS" localSheetId="34">#REF!</definedName>
    <definedName name="TESTKEYS" localSheetId="36">#REF!</definedName>
    <definedName name="TESTKEYS" localSheetId="38">#REF!</definedName>
    <definedName name="TESTKEYS" localSheetId="4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2">#REF!</definedName>
    <definedName name="TESTKEYS" localSheetId="14">#REF!</definedName>
    <definedName name="TESTKEYS" localSheetId="16">#REF!</definedName>
    <definedName name="TESTKEYS" localSheetId="18">#REF!</definedName>
    <definedName name="TESTKEYS" localSheetId="5">#REF!</definedName>
    <definedName name="TESTKEYS" localSheetId="3">#REF!</definedName>
    <definedName name="TESTKEYS">#REF!</definedName>
    <definedName name="TESTVKEY" localSheetId="27">#REF!</definedName>
    <definedName name="TESTVKEY" localSheetId="31">#REF!</definedName>
    <definedName name="TESTVKEY" localSheetId="9">#REF!</definedName>
    <definedName name="TESTVKEY" localSheetId="2">#REF!</definedName>
    <definedName name="TESTVKEY" localSheetId="20">#REF!</definedName>
    <definedName name="TESTVKEY" localSheetId="22">#REF!</definedName>
    <definedName name="TESTVKEY" localSheetId="24">#REF!</definedName>
    <definedName name="TESTVKEY" localSheetId="26">#REF!</definedName>
    <definedName name="TESTVKEY" localSheetId="28">#REF!</definedName>
    <definedName name="TESTVKEY" localSheetId="30">#REF!</definedName>
    <definedName name="TESTVKEY" localSheetId="34">#REF!</definedName>
    <definedName name="TESTVKEY" localSheetId="36">#REF!</definedName>
    <definedName name="TESTVKEY" localSheetId="38">#REF!</definedName>
    <definedName name="TESTVKEY" localSheetId="4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2">#REF!</definedName>
    <definedName name="TESTVKEY" localSheetId="14">#REF!</definedName>
    <definedName name="TESTVKEY" localSheetId="16">#REF!</definedName>
    <definedName name="TESTVKEY" localSheetId="18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H12" i="42" l="1"/>
  <c r="F12" i="42"/>
  <c r="D12" i="42"/>
  <c r="C12" i="42"/>
  <c r="B12" i="42"/>
  <c r="C16" i="13"/>
  <c r="L43" i="13"/>
  <c r="L42" i="13"/>
  <c r="M45" i="13"/>
  <c r="M44" i="13"/>
  <c r="M43" i="13"/>
  <c r="M42" i="13"/>
  <c r="M13" i="13"/>
  <c r="L13" i="13"/>
  <c r="L12" i="13"/>
  <c r="J43" i="13"/>
  <c r="H43" i="13"/>
  <c r="F43" i="13"/>
  <c r="J13" i="13"/>
  <c r="H13" i="13"/>
  <c r="F13" i="13"/>
  <c r="L16" i="67"/>
  <c r="L9" i="67"/>
  <c r="L10" i="67"/>
  <c r="L8" i="67"/>
  <c r="L6" i="67"/>
  <c r="L5" i="67"/>
  <c r="L8" i="21"/>
  <c r="L6" i="21"/>
  <c r="L5" i="21"/>
  <c r="M10" i="25" l="1"/>
  <c r="M11" i="24"/>
  <c r="K15" i="67"/>
  <c r="I15" i="67"/>
  <c r="G15" i="67"/>
  <c r="E15" i="67"/>
  <c r="D15" i="67"/>
  <c r="C15" i="67"/>
  <c r="K12" i="67"/>
  <c r="I12" i="67"/>
  <c r="G12" i="67"/>
  <c r="E12" i="67"/>
  <c r="D12" i="67"/>
  <c r="C12" i="67"/>
  <c r="M10" i="67"/>
  <c r="J10" i="67"/>
  <c r="H10" i="67"/>
  <c r="F10" i="67"/>
  <c r="K9" i="67"/>
  <c r="K16" i="67" s="1"/>
  <c r="I9" i="67"/>
  <c r="I16" i="67" s="1"/>
  <c r="G9" i="67"/>
  <c r="E9" i="67"/>
  <c r="E16" i="67" s="1"/>
  <c r="D9" i="67"/>
  <c r="D16" i="67" s="1"/>
  <c r="C9" i="67"/>
  <c r="M8" i="67"/>
  <c r="J8" i="67"/>
  <c r="H8" i="67"/>
  <c r="F8" i="67"/>
  <c r="M6" i="67"/>
  <c r="J6" i="67"/>
  <c r="H6" i="67"/>
  <c r="F6" i="67"/>
  <c r="M5" i="67"/>
  <c r="J5" i="67"/>
  <c r="H5" i="67"/>
  <c r="F5" i="67"/>
  <c r="C16" i="67" l="1"/>
  <c r="M12" i="67"/>
  <c r="M9" i="67"/>
  <c r="G16" i="67"/>
  <c r="H16" i="67" s="1"/>
  <c r="F12" i="67"/>
  <c r="H12" i="67"/>
  <c r="F16" i="67"/>
  <c r="M16" i="67"/>
  <c r="J16" i="67"/>
  <c r="F9" i="67"/>
  <c r="H9" i="67"/>
  <c r="J9" i="67"/>
  <c r="J12" i="67"/>
  <c r="M129" i="16"/>
  <c r="M124" i="16"/>
  <c r="M51" i="16"/>
  <c r="M47" i="16"/>
  <c r="K53" i="16"/>
  <c r="F8" i="24" l="1"/>
  <c r="E11" i="43" l="1"/>
  <c r="J129" i="16" l="1"/>
  <c r="F51" i="43" l="1"/>
  <c r="F46" i="43"/>
  <c r="F47" i="43"/>
  <c r="F45" i="43"/>
  <c r="F52" i="43"/>
  <c r="M52" i="16" l="1"/>
  <c r="H5" i="28" l="1"/>
  <c r="D10" i="23"/>
  <c r="E10" i="23"/>
  <c r="I130" i="16" l="1"/>
  <c r="H25" i="44"/>
  <c r="H28" i="44"/>
  <c r="H29" i="44"/>
  <c r="H23" i="44"/>
  <c r="F11" i="44"/>
  <c r="F53" i="43"/>
  <c r="M6" i="21" l="1"/>
  <c r="M5" i="21"/>
  <c r="M12" i="13"/>
  <c r="M14" i="13"/>
  <c r="M15" i="13"/>
  <c r="M5" i="20"/>
  <c r="F23" i="43" l="1"/>
  <c r="H23" i="43"/>
  <c r="M11" i="27" l="1"/>
  <c r="M11" i="20"/>
  <c r="N11" i="15"/>
  <c r="K16" i="13"/>
  <c r="K61" i="16"/>
  <c r="K34" i="16"/>
  <c r="I37" i="43"/>
  <c r="G12" i="25" l="1"/>
  <c r="I9" i="47" l="1"/>
  <c r="G9" i="47"/>
  <c r="E9" i="47"/>
  <c r="D9" i="47"/>
  <c r="C9" i="47"/>
  <c r="F8" i="47"/>
  <c r="H8" i="47"/>
  <c r="J8" i="47"/>
  <c r="H10" i="25"/>
  <c r="H8" i="25"/>
  <c r="J93" i="45"/>
  <c r="H93" i="45"/>
  <c r="F93" i="45"/>
  <c r="M27" i="1"/>
  <c r="L27" i="1"/>
  <c r="K27" i="1"/>
  <c r="F12" i="24" l="1"/>
  <c r="F23" i="44" l="1"/>
  <c r="H9" i="44"/>
  <c r="G8" i="44"/>
  <c r="D8" i="44"/>
  <c r="E8" i="44"/>
  <c r="H7" i="44"/>
  <c r="H5" i="44"/>
  <c r="H34" i="43"/>
  <c r="K14" i="15" l="1"/>
  <c r="M12" i="23" l="1"/>
  <c r="M11" i="23"/>
  <c r="M6" i="23"/>
  <c r="M8" i="46"/>
  <c r="M6" i="46"/>
  <c r="M8" i="20" l="1"/>
  <c r="M118" i="16" l="1"/>
  <c r="M93" i="45" l="1"/>
  <c r="K5" i="44"/>
  <c r="K35" i="43"/>
  <c r="H8" i="27" l="1"/>
  <c r="H100" i="45" l="1"/>
  <c r="F100" i="45"/>
  <c r="K14" i="44" l="1"/>
  <c r="H15" i="44"/>
  <c r="F15" i="44"/>
  <c r="H14" i="44"/>
  <c r="H13" i="44"/>
  <c r="H6" i="44"/>
  <c r="H57" i="43" l="1"/>
  <c r="H53" i="43"/>
  <c r="H44" i="43" l="1"/>
  <c r="I14" i="15" l="1"/>
  <c r="M11" i="28" l="1"/>
  <c r="M10" i="47" l="1"/>
  <c r="M8" i="47"/>
  <c r="M6" i="47"/>
  <c r="M6" i="25" l="1"/>
  <c r="M10" i="27"/>
  <c r="M8" i="27"/>
  <c r="M10" i="26"/>
  <c r="M8" i="26"/>
  <c r="M10" i="20"/>
  <c r="M115" i="16" l="1"/>
  <c r="M69" i="16"/>
  <c r="M38" i="16"/>
  <c r="M36" i="16"/>
  <c r="M23" i="16"/>
  <c r="M45" i="16" l="1"/>
  <c r="M25" i="45" l="1"/>
  <c r="L13" i="15"/>
  <c r="M40" i="16" l="1"/>
  <c r="J51" i="16"/>
  <c r="J48" i="16"/>
  <c r="J40" i="16"/>
  <c r="J41" i="16"/>
  <c r="J42" i="16"/>
  <c r="M146" i="16"/>
  <c r="M128" i="16"/>
  <c r="M113" i="16"/>
  <c r="M122" i="16" l="1"/>
  <c r="J111" i="45"/>
  <c r="M47" i="45" l="1"/>
  <c r="M24" i="45"/>
  <c r="M22" i="45"/>
  <c r="K10" i="44"/>
  <c r="K12" i="44"/>
  <c r="F14" i="44"/>
  <c r="F12" i="44"/>
  <c r="F9" i="44"/>
  <c r="H35" i="43" l="1"/>
  <c r="F43" i="43" l="1"/>
  <c r="F44" i="43"/>
  <c r="F48" i="43"/>
  <c r="F56" i="43"/>
  <c r="F57" i="43"/>
  <c r="F58" i="43"/>
  <c r="F59" i="43"/>
  <c r="I5" i="15" l="1"/>
  <c r="K5" i="15"/>
  <c r="N5" i="15"/>
  <c r="I6" i="15"/>
  <c r="K6" i="15"/>
  <c r="N6" i="15"/>
  <c r="I7" i="15"/>
  <c r="K7" i="15"/>
  <c r="N7" i="15"/>
  <c r="I8" i="15"/>
  <c r="K8" i="15"/>
  <c r="N8" i="15"/>
  <c r="I9" i="15"/>
  <c r="K9" i="15"/>
  <c r="N9" i="15"/>
  <c r="C10" i="15"/>
  <c r="E10" i="15"/>
  <c r="G10" i="15"/>
  <c r="J10" i="15"/>
  <c r="L10" i="15"/>
  <c r="I11" i="15"/>
  <c r="K11" i="15"/>
  <c r="I12" i="15"/>
  <c r="K12" i="15"/>
  <c r="N12" i="15"/>
  <c r="C13" i="15"/>
  <c r="E13" i="15"/>
  <c r="G13" i="15"/>
  <c r="N13" i="15" s="1"/>
  <c r="J13" i="15"/>
  <c r="I15" i="15"/>
  <c r="K15" i="15"/>
  <c r="N15" i="15"/>
  <c r="C16" i="15"/>
  <c r="E16" i="15"/>
  <c r="G16" i="15"/>
  <c r="J16" i="15"/>
  <c r="L16" i="15"/>
  <c r="C18" i="15" l="1"/>
  <c r="D5" i="15" s="1"/>
  <c r="N16" i="15"/>
  <c r="G18" i="15"/>
  <c r="K13" i="15"/>
  <c r="J18" i="15"/>
  <c r="K18" i="15" s="1"/>
  <c r="K16" i="15"/>
  <c r="K10" i="15"/>
  <c r="I16" i="15"/>
  <c r="D13" i="15"/>
  <c r="I13" i="15"/>
  <c r="N10" i="15"/>
  <c r="I10" i="15"/>
  <c r="E18" i="15"/>
  <c r="F10" i="15" s="1"/>
  <c r="L18" i="15"/>
  <c r="N18" i="15" s="1"/>
  <c r="H15" i="15"/>
  <c r="D15" i="15"/>
  <c r="D14" i="15"/>
  <c r="H11" i="15"/>
  <c r="D11" i="15"/>
  <c r="H16" i="15"/>
  <c r="D16" i="15"/>
  <c r="H12" i="15"/>
  <c r="D12" i="15"/>
  <c r="H9" i="15"/>
  <c r="D9" i="15"/>
  <c r="H8" i="15"/>
  <c r="D8" i="15"/>
  <c r="H7" i="15"/>
  <c r="D7" i="15"/>
  <c r="H6" i="15"/>
  <c r="D6" i="15"/>
  <c r="D10" i="15" l="1"/>
  <c r="H5" i="15"/>
  <c r="H14" i="15"/>
  <c r="H10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M125" i="45" l="1"/>
  <c r="M117" i="45"/>
  <c r="M118" i="45"/>
  <c r="M119" i="45"/>
  <c r="M115" i="45"/>
  <c r="M104" i="45"/>
  <c r="M83" i="45"/>
  <c r="M84" i="45"/>
  <c r="M87" i="45"/>
  <c r="M91" i="45"/>
  <c r="M96" i="45"/>
  <c r="M75" i="45"/>
  <c r="M76" i="45"/>
  <c r="M77" i="45"/>
  <c r="M78" i="45"/>
  <c r="M79" i="45"/>
  <c r="M68" i="45"/>
  <c r="M73" i="45"/>
  <c r="K98" i="45"/>
  <c r="M59" i="45"/>
  <c r="M60" i="45"/>
  <c r="M38" i="45"/>
  <c r="M39" i="45"/>
  <c r="M40" i="45"/>
  <c r="M41" i="45"/>
  <c r="M42" i="45"/>
  <c r="M43" i="45"/>
  <c r="M44" i="45"/>
  <c r="M45" i="45"/>
  <c r="M46" i="45"/>
  <c r="M48" i="45"/>
  <c r="M49" i="45"/>
  <c r="M50" i="45"/>
  <c r="M51" i="45"/>
  <c r="M52" i="45"/>
  <c r="M53" i="45"/>
  <c r="M54" i="45"/>
  <c r="M55" i="45"/>
  <c r="M31" i="45"/>
  <c r="M32" i="45"/>
  <c r="M33" i="45"/>
  <c r="M34" i="45"/>
  <c r="M35" i="45"/>
  <c r="M15" i="45"/>
  <c r="M16" i="45"/>
  <c r="M17" i="45"/>
  <c r="M18" i="45"/>
  <c r="M19" i="45"/>
  <c r="K50" i="43"/>
  <c r="K53" i="43"/>
  <c r="K56" i="43"/>
  <c r="K57" i="43"/>
  <c r="K58" i="43"/>
  <c r="K59" i="43"/>
  <c r="K43" i="43"/>
  <c r="K44" i="43"/>
  <c r="K48" i="43"/>
  <c r="K21" i="43"/>
  <c r="J11" i="28" l="1"/>
  <c r="H11" i="28"/>
  <c r="F11" i="28"/>
  <c r="J8" i="24"/>
  <c r="H8" i="24"/>
  <c r="F122" i="45" l="1"/>
  <c r="H111" i="45"/>
  <c r="H112" i="45"/>
  <c r="H113" i="45"/>
  <c r="F58" i="45" l="1"/>
  <c r="H58" i="45"/>
  <c r="F39" i="45"/>
  <c r="F40" i="45"/>
  <c r="J36" i="45"/>
  <c r="H36" i="45"/>
  <c r="F36" i="45"/>
  <c r="H56" i="43"/>
  <c r="H58" i="43"/>
  <c r="H63" i="43"/>
  <c r="H31" i="43"/>
  <c r="H32" i="43"/>
  <c r="H33" i="43"/>
  <c r="H28" i="43"/>
  <c r="H25" i="43"/>
  <c r="H24" i="43"/>
  <c r="H19" i="43"/>
  <c r="H20" i="43"/>
  <c r="H21" i="43"/>
  <c r="H22" i="43"/>
  <c r="H18" i="43"/>
  <c r="H8" i="43"/>
  <c r="H10" i="43"/>
  <c r="H6" i="43"/>
  <c r="H7" i="43"/>
  <c r="H5" i="43"/>
  <c r="K9" i="26" l="1"/>
  <c r="M111" i="45" l="1"/>
  <c r="C9" i="25" l="1"/>
  <c r="I9" i="20"/>
  <c r="G9" i="46"/>
  <c r="G10" i="24"/>
  <c r="E10" i="24"/>
  <c r="D10" i="24"/>
  <c r="C10" i="24"/>
  <c r="C83" i="16"/>
  <c r="D83" i="16"/>
  <c r="E83" i="16"/>
  <c r="M142" i="16" l="1"/>
  <c r="M46" i="16"/>
  <c r="M92" i="16" l="1"/>
  <c r="M42" i="16"/>
  <c r="M35" i="16"/>
  <c r="M17" i="16"/>
  <c r="M15" i="16"/>
  <c r="M12" i="16"/>
  <c r="E16" i="13"/>
  <c r="G13" i="1"/>
  <c r="G10" i="1"/>
  <c r="F116" i="16"/>
  <c r="J116" i="16"/>
  <c r="H116" i="16"/>
  <c r="C130" i="16"/>
  <c r="D130" i="16"/>
  <c r="E130" i="16"/>
  <c r="F125" i="16"/>
  <c r="H125" i="16"/>
  <c r="J125" i="16"/>
  <c r="M119" i="16"/>
  <c r="M112" i="16"/>
  <c r="J119" i="16"/>
  <c r="H119" i="16"/>
  <c r="F119" i="16"/>
  <c r="J112" i="16"/>
  <c r="H112" i="16"/>
  <c r="F112" i="16"/>
  <c r="D104" i="16"/>
  <c r="C104" i="16"/>
  <c r="F92" i="16"/>
  <c r="H92" i="16"/>
  <c r="J92" i="16"/>
  <c r="E104" i="16"/>
  <c r="C152" i="16"/>
  <c r="D111" i="16"/>
  <c r="C111" i="16"/>
  <c r="K104" i="16"/>
  <c r="I104" i="16"/>
  <c r="G104" i="16"/>
  <c r="E75" i="16"/>
  <c r="E61" i="16"/>
  <c r="E53" i="16"/>
  <c r="E34" i="16"/>
  <c r="E27" i="16"/>
  <c r="E6" i="16"/>
  <c r="K75" i="16"/>
  <c r="I75" i="16"/>
  <c r="G75" i="16"/>
  <c r="D75" i="16"/>
  <c r="D61" i="16"/>
  <c r="I53" i="16"/>
  <c r="G53" i="16"/>
  <c r="D53" i="16"/>
  <c r="I34" i="16"/>
  <c r="G34" i="16"/>
  <c r="D34" i="16"/>
  <c r="I27" i="16"/>
  <c r="G27" i="16"/>
  <c r="D27" i="16"/>
  <c r="C34" i="16"/>
  <c r="C53" i="16"/>
  <c r="C61" i="16"/>
  <c r="C75" i="16"/>
  <c r="C27" i="16"/>
  <c r="J17" i="16"/>
  <c r="H17" i="16"/>
  <c r="F17" i="16"/>
  <c r="F51" i="16"/>
  <c r="F48" i="16"/>
  <c r="H51" i="16"/>
  <c r="H48" i="16"/>
  <c r="H40" i="16"/>
  <c r="H41" i="16"/>
  <c r="H42" i="16"/>
  <c r="F40" i="16"/>
  <c r="F41" i="16"/>
  <c r="F42" i="16"/>
  <c r="M74" i="16"/>
  <c r="J74" i="16"/>
  <c r="H74" i="16"/>
  <c r="F74" i="16"/>
  <c r="F117" i="16"/>
  <c r="H117" i="16"/>
  <c r="J117" i="16"/>
  <c r="M117" i="16"/>
  <c r="F118" i="16"/>
  <c r="H118" i="16"/>
  <c r="J118" i="16"/>
  <c r="J89" i="16"/>
  <c r="M89" i="16"/>
  <c r="J87" i="16"/>
  <c r="H89" i="16"/>
  <c r="H87" i="16"/>
  <c r="F89" i="16"/>
  <c r="F87" i="16"/>
  <c r="J102" i="16"/>
  <c r="H102" i="16"/>
  <c r="F102" i="16"/>
  <c r="F94" i="16"/>
  <c r="H94" i="16"/>
  <c r="J94" i="16"/>
  <c r="M94" i="16"/>
  <c r="E76" i="16" l="1"/>
  <c r="J35" i="16"/>
  <c r="H35" i="16"/>
  <c r="F35" i="16"/>
  <c r="F25" i="16"/>
  <c r="J25" i="16"/>
  <c r="H25" i="16"/>
  <c r="J15" i="16"/>
  <c r="H15" i="16"/>
  <c r="F15" i="16"/>
  <c r="J10" i="16"/>
  <c r="J11" i="16"/>
  <c r="J12" i="16"/>
  <c r="F12" i="16"/>
  <c r="F10" i="16"/>
  <c r="H12" i="16"/>
  <c r="H10" i="16"/>
  <c r="F57" i="16" l="1"/>
  <c r="H57" i="16"/>
  <c r="J57" i="16"/>
  <c r="M57" i="16"/>
  <c r="F46" i="16"/>
  <c r="H46" i="16"/>
  <c r="J46" i="16"/>
  <c r="F39" i="16"/>
  <c r="H39" i="16"/>
  <c r="J39" i="16"/>
  <c r="F43" i="16"/>
  <c r="H43" i="16"/>
  <c r="J43" i="16"/>
  <c r="M43" i="16"/>
  <c r="F37" i="16"/>
  <c r="H37" i="16"/>
  <c r="J37" i="16"/>
  <c r="M37" i="16"/>
  <c r="H53" i="16" l="1"/>
  <c r="J53" i="16"/>
  <c r="F53" i="16"/>
  <c r="M53" i="16"/>
  <c r="F111" i="45" l="1"/>
  <c r="J22" i="45" l="1"/>
  <c r="D27" i="1"/>
  <c r="C27" i="1"/>
  <c r="H12" i="43" l="1"/>
  <c r="G7" i="14" l="1"/>
  <c r="G10" i="14" s="1"/>
  <c r="G13" i="14" s="1"/>
  <c r="F7" i="14"/>
  <c r="F10" i="14" s="1"/>
  <c r="F13" i="14" s="1"/>
  <c r="E7" i="14"/>
  <c r="E10" i="14" s="1"/>
  <c r="E13" i="14" s="1"/>
  <c r="D7" i="14"/>
  <c r="D10" i="14" s="1"/>
  <c r="D13" i="14" s="1"/>
  <c r="C7" i="14"/>
  <c r="C10" i="14" s="1"/>
  <c r="C13" i="14" s="1"/>
  <c r="J96" i="45" l="1"/>
  <c r="H96" i="45"/>
  <c r="F96" i="45"/>
  <c r="G9" i="20" l="1"/>
  <c r="P22" i="1" l="1"/>
  <c r="P23" i="1"/>
  <c r="P24" i="1"/>
  <c r="P25" i="1"/>
  <c r="P26" i="1"/>
  <c r="M5" i="47" l="1"/>
  <c r="M41" i="13"/>
  <c r="M11" i="13"/>
  <c r="M120" i="16"/>
  <c r="M121" i="16"/>
  <c r="M123" i="16"/>
  <c r="M126" i="16"/>
  <c r="M127" i="16"/>
  <c r="M44" i="16"/>
  <c r="M49" i="16"/>
  <c r="M50" i="16"/>
  <c r="M19" i="16"/>
  <c r="M20" i="16"/>
  <c r="M22" i="16"/>
  <c r="M24" i="16"/>
  <c r="M26" i="16"/>
  <c r="M116" i="45"/>
  <c r="H59" i="43" l="1"/>
  <c r="H52" i="43"/>
  <c r="H43" i="43"/>
  <c r="M113" i="45" l="1"/>
  <c r="J104" i="45"/>
  <c r="J105" i="45"/>
  <c r="J106" i="45"/>
  <c r="J107" i="45"/>
  <c r="J108" i="45"/>
  <c r="J109" i="45"/>
  <c r="I27" i="1" l="1"/>
  <c r="E27" i="1"/>
  <c r="G27" i="1"/>
  <c r="J5" i="20" l="1"/>
  <c r="J6" i="20"/>
  <c r="J8" i="20"/>
  <c r="J10" i="20"/>
  <c r="J11" i="20"/>
  <c r="M10" i="28" l="1"/>
  <c r="M11" i="22"/>
  <c r="J10" i="21"/>
  <c r="H10" i="21"/>
  <c r="F10" i="21"/>
  <c r="F11" i="20"/>
  <c r="H11" i="20"/>
  <c r="H10" i="20"/>
  <c r="J39" i="45"/>
  <c r="J40" i="45"/>
  <c r="H39" i="45"/>
  <c r="H40" i="45"/>
  <c r="J46" i="45"/>
  <c r="J47" i="45"/>
  <c r="H46" i="45"/>
  <c r="H47" i="45"/>
  <c r="F46" i="45"/>
  <c r="F47" i="45"/>
  <c r="M71" i="45" l="1"/>
  <c r="M27" i="45"/>
  <c r="M28" i="45"/>
  <c r="M23" i="45"/>
  <c r="M21" i="45"/>
  <c r="M121" i="45"/>
  <c r="P12" i="1"/>
  <c r="K15" i="28" l="1"/>
  <c r="K12" i="28"/>
  <c r="K9" i="28"/>
  <c r="K15" i="22"/>
  <c r="K12" i="22"/>
  <c r="K9" i="22"/>
  <c r="K16" i="23"/>
  <c r="K13" i="23"/>
  <c r="K10" i="23"/>
  <c r="K15" i="21"/>
  <c r="K12" i="21"/>
  <c r="K9" i="21"/>
  <c r="K15" i="46"/>
  <c r="K12" i="46"/>
  <c r="K9" i="46"/>
  <c r="K15" i="25"/>
  <c r="K12" i="25"/>
  <c r="K9" i="25"/>
  <c r="K15" i="27"/>
  <c r="K12" i="27"/>
  <c r="K9" i="27"/>
  <c r="K15" i="26"/>
  <c r="K12" i="26"/>
  <c r="K16" i="24"/>
  <c r="K13" i="24"/>
  <c r="K10" i="24"/>
  <c r="K15" i="20"/>
  <c r="K12" i="20"/>
  <c r="K9" i="20"/>
  <c r="K127" i="45"/>
  <c r="K61" i="45"/>
  <c r="K57" i="45"/>
  <c r="K11" i="45"/>
  <c r="K16" i="21" l="1"/>
  <c r="K16" i="28"/>
  <c r="K16" i="22"/>
  <c r="K16" i="25"/>
  <c r="K16" i="26"/>
  <c r="K17" i="24"/>
  <c r="K16" i="20"/>
  <c r="K128" i="45"/>
  <c r="K129" i="45" s="1"/>
  <c r="K17" i="23"/>
  <c r="K16" i="46"/>
  <c r="K16" i="27"/>
  <c r="M131" i="16"/>
  <c r="M54" i="16"/>
  <c r="M32" i="16"/>
  <c r="M40" i="13" l="1"/>
  <c r="M10" i="13"/>
  <c r="H8" i="1" l="1"/>
  <c r="M5" i="46" l="1"/>
  <c r="M137" i="16"/>
  <c r="K6" i="16"/>
  <c r="K27" i="16"/>
  <c r="N16" i="1"/>
  <c r="I12" i="14" s="1"/>
  <c r="N13" i="1"/>
  <c r="I9" i="14" s="1"/>
  <c r="N10" i="1"/>
  <c r="I6" i="14" s="1"/>
  <c r="I31" i="44"/>
  <c r="I16" i="44"/>
  <c r="I8" i="44"/>
  <c r="K8" i="44" s="1"/>
  <c r="I67" i="43"/>
  <c r="I60" i="43"/>
  <c r="I14" i="43"/>
  <c r="I11" i="43"/>
  <c r="K76" i="16" l="1"/>
  <c r="I68" i="43"/>
  <c r="N17" i="1"/>
  <c r="I17" i="44"/>
  <c r="G10" i="23"/>
  <c r="I10" i="23"/>
  <c r="C10" i="23"/>
  <c r="I10" i="24"/>
  <c r="E10" i="1"/>
  <c r="C46" i="13"/>
  <c r="C57" i="13"/>
  <c r="H136" i="16"/>
  <c r="J136" i="16"/>
  <c r="F136" i="16"/>
  <c r="M109" i="16"/>
  <c r="E127" i="45"/>
  <c r="D127" i="45"/>
  <c r="C127" i="45"/>
  <c r="I127" i="45"/>
  <c r="G127" i="45"/>
  <c r="C10" i="1"/>
  <c r="C58" i="13" l="1"/>
  <c r="I10" i="1" l="1"/>
  <c r="M147" i="16" l="1"/>
  <c r="M60" i="16" l="1"/>
  <c r="F5" i="27" l="1"/>
  <c r="P5" i="1" l="1"/>
  <c r="F73" i="45" l="1"/>
  <c r="F74" i="45"/>
  <c r="F16" i="45"/>
  <c r="G16" i="1"/>
  <c r="G30" i="1"/>
  <c r="G33" i="1"/>
  <c r="G34" i="1" l="1"/>
  <c r="G31" i="44"/>
  <c r="E31" i="44"/>
  <c r="F5" i="44" l="1"/>
  <c r="G16" i="44" l="1"/>
  <c r="F5" i="43"/>
  <c r="D11" i="43"/>
  <c r="D14" i="43"/>
  <c r="G17" i="44" l="1"/>
  <c r="P31" i="1" l="1"/>
  <c r="P32" i="1"/>
  <c r="J8" i="46" l="1"/>
  <c r="H8" i="46"/>
  <c r="F8" i="46"/>
  <c r="J59" i="16"/>
  <c r="H59" i="16"/>
  <c r="F59" i="16"/>
  <c r="P14" i="1"/>
  <c r="M13" i="16" l="1"/>
  <c r="M5" i="25" l="1"/>
  <c r="M14" i="23" l="1"/>
  <c r="M8" i="25"/>
  <c r="K5" i="43"/>
  <c r="D98" i="45" l="1"/>
  <c r="D67" i="43"/>
  <c r="E67" i="43"/>
  <c r="E14" i="43"/>
  <c r="E37" i="43"/>
  <c r="H29" i="43"/>
  <c r="D128" i="45" l="1"/>
  <c r="H99" i="45"/>
  <c r="F99" i="45"/>
  <c r="D60" i="43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1" i="13"/>
  <c r="H41" i="13"/>
  <c r="F41" i="13"/>
  <c r="J11" i="13"/>
  <c r="H11" i="13"/>
  <c r="F11" i="13"/>
  <c r="K15" i="47" l="1"/>
  <c r="I15" i="47"/>
  <c r="G15" i="47"/>
  <c r="E15" i="47"/>
  <c r="D15" i="47"/>
  <c r="C15" i="47"/>
  <c r="K12" i="47"/>
  <c r="I12" i="47"/>
  <c r="G12" i="47"/>
  <c r="E12" i="47"/>
  <c r="D12" i="47"/>
  <c r="C12" i="47"/>
  <c r="C16" i="47" s="1"/>
  <c r="K9" i="47"/>
  <c r="M9" i="47" l="1"/>
  <c r="M12" i="47"/>
  <c r="F12" i="47"/>
  <c r="J12" i="47"/>
  <c r="H12" i="47"/>
  <c r="K16" i="47"/>
  <c r="G16" i="47"/>
  <c r="E16" i="47"/>
  <c r="I16" i="47"/>
  <c r="J9" i="47"/>
  <c r="D16" i="47"/>
  <c r="F9" i="47"/>
  <c r="H9" i="47"/>
  <c r="H37" i="13"/>
  <c r="M16" i="47" l="1"/>
  <c r="F16" i="47"/>
  <c r="J16" i="47"/>
  <c r="H16" i="47"/>
  <c r="F13" i="44" l="1"/>
  <c r="H36" i="13" l="1"/>
  <c r="H32" i="45" l="1"/>
  <c r="L33" i="1" l="1"/>
  <c r="L30" i="1"/>
  <c r="L34" i="1" l="1"/>
  <c r="G83" i="16" l="1"/>
  <c r="G6" i="16"/>
  <c r="M72" i="45" l="1"/>
  <c r="H8" i="28" l="1"/>
  <c r="M15" i="23" l="1"/>
  <c r="M6" i="24"/>
  <c r="M39" i="13"/>
  <c r="M9" i="13"/>
  <c r="K24" i="43"/>
  <c r="J11" i="24" l="1"/>
  <c r="J11" i="27"/>
  <c r="H11" i="27"/>
  <c r="F11" i="27"/>
  <c r="H11" i="24" l="1"/>
  <c r="F11" i="24"/>
  <c r="P15" i="1" l="1"/>
  <c r="M103" i="16" l="1"/>
  <c r="J40" i="13" l="1"/>
  <c r="H40" i="13"/>
  <c r="F40" i="13"/>
  <c r="M8" i="13"/>
  <c r="M7" i="13"/>
  <c r="J10" i="13"/>
  <c r="H10" i="13"/>
  <c r="F10" i="13"/>
  <c r="I15" i="46"/>
  <c r="G15" i="46"/>
  <c r="E15" i="46"/>
  <c r="D15" i="46"/>
  <c r="C15" i="46"/>
  <c r="I12" i="46"/>
  <c r="G12" i="46"/>
  <c r="E12" i="46"/>
  <c r="D12" i="46"/>
  <c r="C12" i="46"/>
  <c r="I9" i="46"/>
  <c r="M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I16" i="46"/>
  <c r="M16" i="46" s="1"/>
  <c r="J9" i="46"/>
  <c r="H16" i="46" l="1"/>
  <c r="F16" i="46"/>
  <c r="J16" i="46"/>
  <c r="K10" i="43" l="1"/>
  <c r="K8" i="43"/>
  <c r="K152" i="16" l="1"/>
  <c r="I152" i="16"/>
  <c r="G152" i="16"/>
  <c r="E152" i="16"/>
  <c r="D152" i="16"/>
  <c r="M151" i="16"/>
  <c r="J151" i="16"/>
  <c r="H151" i="16"/>
  <c r="F151" i="16"/>
  <c r="M150" i="16"/>
  <c r="J150" i="16"/>
  <c r="H150" i="16"/>
  <c r="F150" i="16"/>
  <c r="M149" i="16"/>
  <c r="J149" i="16"/>
  <c r="H149" i="16"/>
  <c r="F149" i="16"/>
  <c r="M148" i="16"/>
  <c r="J148" i="16"/>
  <c r="H148" i="16"/>
  <c r="F148" i="16"/>
  <c r="J147" i="16"/>
  <c r="H147" i="16"/>
  <c r="F147" i="16"/>
  <c r="J146" i="16"/>
  <c r="H146" i="16"/>
  <c r="F146" i="16"/>
  <c r="M145" i="16"/>
  <c r="J145" i="16"/>
  <c r="H145" i="16"/>
  <c r="F145" i="16"/>
  <c r="M144" i="16"/>
  <c r="J144" i="16"/>
  <c r="H144" i="16"/>
  <c r="F144" i="16"/>
  <c r="M143" i="16"/>
  <c r="J143" i="16"/>
  <c r="H143" i="16"/>
  <c r="F143" i="16"/>
  <c r="J142" i="16"/>
  <c r="H142" i="16"/>
  <c r="F142" i="16"/>
  <c r="M141" i="16"/>
  <c r="J141" i="16"/>
  <c r="H141" i="16"/>
  <c r="F141" i="16"/>
  <c r="M140" i="16"/>
  <c r="J140" i="16"/>
  <c r="H140" i="16"/>
  <c r="F140" i="16"/>
  <c r="M139" i="16"/>
  <c r="J139" i="16"/>
  <c r="H139" i="16"/>
  <c r="F139" i="16"/>
  <c r="K138" i="16"/>
  <c r="I138" i="16"/>
  <c r="G138" i="16"/>
  <c r="E138" i="16"/>
  <c r="D138" i="16"/>
  <c r="J137" i="16"/>
  <c r="H137" i="16"/>
  <c r="F137" i="16"/>
  <c r="M135" i="16"/>
  <c r="J135" i="16"/>
  <c r="H135" i="16"/>
  <c r="F135" i="16"/>
  <c r="M134" i="16"/>
  <c r="J134" i="16"/>
  <c r="H134" i="16"/>
  <c r="F134" i="16"/>
  <c r="M133" i="16"/>
  <c r="J133" i="16"/>
  <c r="H133" i="16"/>
  <c r="F133" i="16"/>
  <c r="M132" i="16"/>
  <c r="J132" i="16"/>
  <c r="H132" i="16"/>
  <c r="F132" i="16"/>
  <c r="J131" i="16"/>
  <c r="H131" i="16"/>
  <c r="F131" i="16"/>
  <c r="C138" i="16"/>
  <c r="K130" i="16"/>
  <c r="G130" i="16"/>
  <c r="H129" i="16"/>
  <c r="F129" i="16"/>
  <c r="J128" i="16"/>
  <c r="H128" i="16"/>
  <c r="F128" i="16"/>
  <c r="J127" i="16"/>
  <c r="H127" i="16"/>
  <c r="F127" i="16"/>
  <c r="J126" i="16"/>
  <c r="H126" i="16"/>
  <c r="F126" i="16"/>
  <c r="J124" i="16"/>
  <c r="H124" i="16"/>
  <c r="F124" i="16"/>
  <c r="J123" i="16"/>
  <c r="H123" i="16"/>
  <c r="F123" i="16"/>
  <c r="J122" i="16"/>
  <c r="H122" i="16"/>
  <c r="F122" i="16"/>
  <c r="J121" i="16"/>
  <c r="H121" i="16"/>
  <c r="F121" i="16"/>
  <c r="J120" i="16"/>
  <c r="H120" i="16"/>
  <c r="F120" i="16"/>
  <c r="J115" i="16"/>
  <c r="H115" i="16"/>
  <c r="F115" i="16"/>
  <c r="M114" i="16"/>
  <c r="J114" i="16"/>
  <c r="H114" i="16"/>
  <c r="F114" i="16"/>
  <c r="J113" i="16"/>
  <c r="H113" i="16"/>
  <c r="F113" i="16"/>
  <c r="K111" i="16"/>
  <c r="I111" i="16"/>
  <c r="G111" i="16"/>
  <c r="E111" i="16"/>
  <c r="J109" i="16"/>
  <c r="H109" i="16"/>
  <c r="F109" i="16"/>
  <c r="M108" i="16"/>
  <c r="J108" i="16"/>
  <c r="H108" i="16"/>
  <c r="F108" i="16"/>
  <c r="M107" i="16"/>
  <c r="J107" i="16"/>
  <c r="H107" i="16"/>
  <c r="F107" i="16"/>
  <c r="M106" i="16"/>
  <c r="J106" i="16"/>
  <c r="H106" i="16"/>
  <c r="F106" i="16"/>
  <c r="M105" i="16"/>
  <c r="J105" i="16"/>
  <c r="H105" i="16"/>
  <c r="F105" i="16"/>
  <c r="J103" i="16"/>
  <c r="H103" i="16"/>
  <c r="F103" i="16"/>
  <c r="J101" i="16"/>
  <c r="H101" i="16"/>
  <c r="F101" i="16"/>
  <c r="J100" i="16"/>
  <c r="H100" i="16"/>
  <c r="F100" i="16"/>
  <c r="J99" i="16"/>
  <c r="H99" i="16"/>
  <c r="F99" i="16"/>
  <c r="J97" i="16"/>
  <c r="H97" i="16"/>
  <c r="F97" i="16"/>
  <c r="J96" i="16"/>
  <c r="H96" i="16"/>
  <c r="F96" i="16"/>
  <c r="J95" i="16"/>
  <c r="H95" i="16"/>
  <c r="F95" i="16"/>
  <c r="M93" i="16"/>
  <c r="J93" i="16"/>
  <c r="H93" i="16"/>
  <c r="F93" i="16"/>
  <c r="M91" i="16"/>
  <c r="J91" i="16"/>
  <c r="H91" i="16"/>
  <c r="F91" i="16"/>
  <c r="M90" i="16"/>
  <c r="J90" i="16"/>
  <c r="H90" i="16"/>
  <c r="F90" i="16"/>
  <c r="J88" i="16"/>
  <c r="H88" i="16"/>
  <c r="F88" i="16"/>
  <c r="M86" i="16"/>
  <c r="M85" i="16"/>
  <c r="J85" i="16"/>
  <c r="H85" i="16"/>
  <c r="F85" i="16"/>
  <c r="M84" i="16"/>
  <c r="J84" i="16"/>
  <c r="H84" i="16"/>
  <c r="F84" i="16"/>
  <c r="K83" i="16"/>
  <c r="I83" i="16"/>
  <c r="M82" i="16"/>
  <c r="J82" i="16"/>
  <c r="H82" i="16"/>
  <c r="F82" i="16"/>
  <c r="I61" i="16"/>
  <c r="G61" i="16"/>
  <c r="G76" i="16" s="1"/>
  <c r="J54" i="16"/>
  <c r="H54" i="16"/>
  <c r="F54" i="16"/>
  <c r="J52" i="16"/>
  <c r="H52" i="16"/>
  <c r="F52" i="16"/>
  <c r="J47" i="16"/>
  <c r="H47" i="16"/>
  <c r="F47" i="16"/>
  <c r="J38" i="16"/>
  <c r="H38" i="16"/>
  <c r="F38" i="16"/>
  <c r="J32" i="16"/>
  <c r="H32" i="16"/>
  <c r="F32" i="16"/>
  <c r="K153" i="16" l="1"/>
  <c r="J83" i="16"/>
  <c r="F111" i="16"/>
  <c r="G153" i="16"/>
  <c r="I153" i="16"/>
  <c r="F34" i="16"/>
  <c r="J111" i="16"/>
  <c r="H111" i="16"/>
  <c r="H34" i="16"/>
  <c r="J34" i="16"/>
  <c r="F83" i="16"/>
  <c r="M152" i="16"/>
  <c r="M138" i="16"/>
  <c r="M130" i="16"/>
  <c r="F104" i="16"/>
  <c r="M104" i="16"/>
  <c r="M111" i="16"/>
  <c r="J152" i="16"/>
  <c r="J138" i="16"/>
  <c r="J130" i="16"/>
  <c r="H104" i="16"/>
  <c r="M83" i="16"/>
  <c r="D153" i="16"/>
  <c r="H83" i="16"/>
  <c r="E153" i="16"/>
  <c r="F130" i="16"/>
  <c r="H130" i="16"/>
  <c r="F138" i="16"/>
  <c r="H138" i="16"/>
  <c r="F152" i="16"/>
  <c r="H152" i="16"/>
  <c r="J104" i="16"/>
  <c r="C153" i="16" l="1"/>
  <c r="J5" i="16"/>
  <c r="J7" i="16"/>
  <c r="J8" i="16"/>
  <c r="J13" i="16"/>
  <c r="J14" i="16"/>
  <c r="J16" i="16"/>
  <c r="J18" i="16"/>
  <c r="J19" i="16"/>
  <c r="J20" i="16"/>
  <c r="J49" i="16" l="1"/>
  <c r="H49" i="16"/>
  <c r="F49" i="16"/>
  <c r="I5" i="14"/>
  <c r="I7" i="14" s="1"/>
  <c r="I8" i="14"/>
  <c r="I11" i="14"/>
  <c r="I10" i="14" l="1"/>
  <c r="I13" i="14" s="1"/>
  <c r="F5" i="45" l="1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D31" i="44"/>
  <c r="F31" i="44" l="1"/>
  <c r="M106" i="45"/>
  <c r="J10" i="26" l="1"/>
  <c r="H10" i="26"/>
  <c r="F10" i="26"/>
  <c r="F60" i="45" l="1"/>
  <c r="M67" i="45" l="1"/>
  <c r="K30" i="43" l="1"/>
  <c r="H26" i="43" l="1"/>
  <c r="C14" i="43"/>
  <c r="E15" i="21" l="1"/>
  <c r="M109" i="45" l="1"/>
  <c r="M33" i="1" l="1"/>
  <c r="K33" i="1"/>
  <c r="M30" i="1"/>
  <c r="M34" i="1" l="1"/>
  <c r="M8" i="28" l="1"/>
  <c r="M6" i="28"/>
  <c r="M5" i="28"/>
  <c r="I15" i="28" l="1"/>
  <c r="G15" i="28"/>
  <c r="E15" i="28"/>
  <c r="D15" i="28"/>
  <c r="C15" i="28"/>
  <c r="I12" i="28"/>
  <c r="M12" i="28" s="1"/>
  <c r="G12" i="28"/>
  <c r="E12" i="28"/>
  <c r="D12" i="28"/>
  <c r="C12" i="28"/>
  <c r="J10" i="28"/>
  <c r="H10" i="28"/>
  <c r="F10" i="28"/>
  <c r="I9" i="28"/>
  <c r="G9" i="28"/>
  <c r="E9" i="28"/>
  <c r="D9" i="28"/>
  <c r="C9" i="28"/>
  <c r="J8" i="28"/>
  <c r="F8" i="28"/>
  <c r="J6" i="28"/>
  <c r="H6" i="28"/>
  <c r="F6" i="28"/>
  <c r="J5" i="28"/>
  <c r="F5" i="28"/>
  <c r="I16" i="23"/>
  <c r="G16" i="23"/>
  <c r="E16" i="23"/>
  <c r="D16" i="23"/>
  <c r="C16" i="23"/>
  <c r="G16" i="28" l="1"/>
  <c r="D16" i="28"/>
  <c r="M16" i="23"/>
  <c r="F9" i="28"/>
  <c r="M9" i="28"/>
  <c r="J12" i="28"/>
  <c r="I16" i="28"/>
  <c r="F12" i="28"/>
  <c r="H12" i="28"/>
  <c r="C16" i="28"/>
  <c r="H9" i="28"/>
  <c r="J9" i="28"/>
  <c r="J16" i="23"/>
  <c r="H16" i="23"/>
  <c r="F16" i="23"/>
  <c r="J15" i="23"/>
  <c r="H15" i="23"/>
  <c r="F15" i="23"/>
  <c r="J14" i="23"/>
  <c r="H14" i="23"/>
  <c r="F14" i="23"/>
  <c r="I13" i="23"/>
  <c r="M13" i="23" s="1"/>
  <c r="G13" i="23"/>
  <c r="E13" i="23"/>
  <c r="D13" i="23"/>
  <c r="C13" i="23"/>
  <c r="H16" i="28" l="1"/>
  <c r="J16" i="28"/>
  <c r="H13" i="23"/>
  <c r="M16" i="28"/>
  <c r="J13" i="23"/>
  <c r="F13" i="23"/>
  <c r="J12" i="23"/>
  <c r="H12" i="23"/>
  <c r="F12" i="23"/>
  <c r="J11" i="23"/>
  <c r="H11" i="23"/>
  <c r="F11" i="23"/>
  <c r="I17" i="23"/>
  <c r="G17" i="23"/>
  <c r="E17" i="23"/>
  <c r="D17" i="23"/>
  <c r="M8" i="23"/>
  <c r="J8" i="23"/>
  <c r="H8" i="23"/>
  <c r="F8" i="23"/>
  <c r="M7" i="23"/>
  <c r="J7" i="23"/>
  <c r="H7" i="23"/>
  <c r="F7" i="23"/>
  <c r="J6" i="23"/>
  <c r="H6" i="23"/>
  <c r="F6" i="23"/>
  <c r="M5" i="23"/>
  <c r="J5" i="23"/>
  <c r="H5" i="23"/>
  <c r="F5" i="23"/>
  <c r="I15" i="22"/>
  <c r="G15" i="22"/>
  <c r="E15" i="22"/>
  <c r="D15" i="22"/>
  <c r="C15" i="22"/>
  <c r="I12" i="22"/>
  <c r="M12" i="22" s="1"/>
  <c r="G12" i="22"/>
  <c r="E12" i="22"/>
  <c r="D12" i="22"/>
  <c r="C12" i="22"/>
  <c r="J11" i="22"/>
  <c r="H11" i="22"/>
  <c r="F11" i="22"/>
  <c r="I9" i="22"/>
  <c r="G9" i="22"/>
  <c r="E9" i="22"/>
  <c r="D9" i="22"/>
  <c r="C9" i="22"/>
  <c r="M8" i="22"/>
  <c r="J8" i="22"/>
  <c r="H8" i="22"/>
  <c r="F8" i="22"/>
  <c r="M5" i="22"/>
  <c r="J5" i="22"/>
  <c r="H5" i="22"/>
  <c r="F5" i="22"/>
  <c r="I15" i="21"/>
  <c r="G15" i="21"/>
  <c r="D15" i="21"/>
  <c r="C15" i="21"/>
  <c r="I12" i="21"/>
  <c r="M12" i="21" s="1"/>
  <c r="G12" i="21"/>
  <c r="E12" i="21"/>
  <c r="D12" i="21"/>
  <c r="C12" i="21"/>
  <c r="I9" i="21"/>
  <c r="G9" i="21"/>
  <c r="E9" i="21"/>
  <c r="D9" i="21"/>
  <c r="C9" i="21"/>
  <c r="M8" i="21"/>
  <c r="J8" i="21"/>
  <c r="H8" i="21"/>
  <c r="F8" i="21"/>
  <c r="J6" i="21"/>
  <c r="H6" i="21"/>
  <c r="F6" i="21"/>
  <c r="J5" i="21"/>
  <c r="H5" i="21"/>
  <c r="F5" i="21"/>
  <c r="I15" i="27"/>
  <c r="G15" i="27"/>
  <c r="E15" i="27"/>
  <c r="D15" i="27"/>
  <c r="C15" i="27"/>
  <c r="I12" i="27"/>
  <c r="M12" i="27" s="1"/>
  <c r="G12" i="27"/>
  <c r="E12" i="27"/>
  <c r="D12" i="27"/>
  <c r="C12" i="27"/>
  <c r="J10" i="27"/>
  <c r="H10" i="27"/>
  <c r="F10" i="27"/>
  <c r="I9" i="27"/>
  <c r="G9" i="27"/>
  <c r="E9" i="27"/>
  <c r="D9" i="27"/>
  <c r="C9" i="27"/>
  <c r="J8" i="27"/>
  <c r="F8" i="27"/>
  <c r="M6" i="27"/>
  <c r="J6" i="27"/>
  <c r="H6" i="27"/>
  <c r="F6" i="27"/>
  <c r="M5" i="27"/>
  <c r="J5" i="27"/>
  <c r="H5" i="27"/>
  <c r="I15" i="26"/>
  <c r="G15" i="26"/>
  <c r="E15" i="26"/>
  <c r="D15" i="26"/>
  <c r="C15" i="26"/>
  <c r="I12" i="26"/>
  <c r="M12" i="26" s="1"/>
  <c r="G12" i="26"/>
  <c r="E12" i="26"/>
  <c r="D12" i="26"/>
  <c r="C12" i="26"/>
  <c r="I9" i="26"/>
  <c r="G9" i="26"/>
  <c r="E9" i="26"/>
  <c r="D9" i="26"/>
  <c r="C9" i="26"/>
  <c r="J8" i="26"/>
  <c r="H8" i="26"/>
  <c r="F8" i="26"/>
  <c r="M6" i="26"/>
  <c r="J6" i="26"/>
  <c r="H6" i="26"/>
  <c r="F6" i="26"/>
  <c r="M5" i="26"/>
  <c r="J5" i="26"/>
  <c r="H5" i="26"/>
  <c r="F5" i="26"/>
  <c r="I15" i="25"/>
  <c r="G15" i="25"/>
  <c r="E15" i="25"/>
  <c r="D15" i="25"/>
  <c r="C15" i="25"/>
  <c r="I12" i="25"/>
  <c r="M12" i="25" s="1"/>
  <c r="E12" i="25"/>
  <c r="D12" i="25"/>
  <c r="C12" i="25"/>
  <c r="J10" i="25"/>
  <c r="F10" i="25"/>
  <c r="I9" i="25"/>
  <c r="G9" i="25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D16" i="24"/>
  <c r="C16" i="24"/>
  <c r="I13" i="24"/>
  <c r="M13" i="24" s="1"/>
  <c r="G13" i="24"/>
  <c r="E13" i="24"/>
  <c r="D13" i="24"/>
  <c r="C13" i="24"/>
  <c r="M8" i="24"/>
  <c r="J6" i="24"/>
  <c r="H6" i="24"/>
  <c r="F6" i="24"/>
  <c r="M5" i="24"/>
  <c r="J5" i="24"/>
  <c r="H5" i="24"/>
  <c r="F5" i="24"/>
  <c r="I15" i="20"/>
  <c r="G15" i="20"/>
  <c r="E15" i="20"/>
  <c r="D15" i="20"/>
  <c r="C15" i="20"/>
  <c r="I12" i="20"/>
  <c r="M12" i="20" s="1"/>
  <c r="G12" i="20"/>
  <c r="E12" i="20"/>
  <c r="D12" i="20"/>
  <c r="C12" i="20"/>
  <c r="F10" i="20"/>
  <c r="E9" i="20"/>
  <c r="D9" i="20"/>
  <c r="C9" i="20"/>
  <c r="H8" i="20"/>
  <c r="F8" i="20"/>
  <c r="M6" i="20"/>
  <c r="H6" i="20"/>
  <c r="F6" i="20"/>
  <c r="H5" i="20"/>
  <c r="F5" i="20"/>
  <c r="K57" i="13"/>
  <c r="I57" i="13"/>
  <c r="G57" i="13"/>
  <c r="E57" i="13"/>
  <c r="D57" i="13"/>
  <c r="H13" i="24" l="1"/>
  <c r="F12" i="21"/>
  <c r="J12" i="21"/>
  <c r="H12" i="21"/>
  <c r="D16" i="20"/>
  <c r="E16" i="22"/>
  <c r="D13" i="42" s="1"/>
  <c r="E16" i="27"/>
  <c r="D11" i="42" s="1"/>
  <c r="F13" i="24"/>
  <c r="I16" i="20"/>
  <c r="H7" i="42" s="1"/>
  <c r="G16" i="20"/>
  <c r="E16" i="20"/>
  <c r="F16" i="20" s="1"/>
  <c r="J13" i="24"/>
  <c r="M9" i="25"/>
  <c r="J12" i="25"/>
  <c r="F12" i="26"/>
  <c r="H12" i="26"/>
  <c r="J12" i="26"/>
  <c r="F9" i="21"/>
  <c r="E16" i="26"/>
  <c r="D16" i="26"/>
  <c r="F57" i="13"/>
  <c r="M57" i="13"/>
  <c r="F12" i="20"/>
  <c r="I16" i="26"/>
  <c r="J16" i="26" s="1"/>
  <c r="F12" i="25"/>
  <c r="J12" i="22"/>
  <c r="D16" i="21"/>
  <c r="H12" i="20"/>
  <c r="J12" i="20"/>
  <c r="M17" i="23"/>
  <c r="M10" i="23"/>
  <c r="D14" i="42"/>
  <c r="F17" i="23"/>
  <c r="C17" i="23"/>
  <c r="B14" i="42" s="1"/>
  <c r="C14" i="42"/>
  <c r="J17" i="23"/>
  <c r="H17" i="23"/>
  <c r="F10" i="23"/>
  <c r="H10" i="23"/>
  <c r="J10" i="23"/>
  <c r="M9" i="22"/>
  <c r="J9" i="22"/>
  <c r="F12" i="22"/>
  <c r="H12" i="22"/>
  <c r="D16" i="22"/>
  <c r="F9" i="22"/>
  <c r="H9" i="22"/>
  <c r="M9" i="21"/>
  <c r="C16" i="21"/>
  <c r="E16" i="21"/>
  <c r="H9" i="21"/>
  <c r="J9" i="21"/>
  <c r="M9" i="27"/>
  <c r="J12" i="27"/>
  <c r="J9" i="27"/>
  <c r="F12" i="27"/>
  <c r="H12" i="27"/>
  <c r="D16" i="27"/>
  <c r="F9" i="27"/>
  <c r="H9" i="27"/>
  <c r="M9" i="26"/>
  <c r="C16" i="26"/>
  <c r="D10" i="42"/>
  <c r="J9" i="26"/>
  <c r="F9" i="26"/>
  <c r="H9" i="26"/>
  <c r="J9" i="25"/>
  <c r="F9" i="25"/>
  <c r="H9" i="25"/>
  <c r="M10" i="24"/>
  <c r="J10" i="24"/>
  <c r="F10" i="24"/>
  <c r="H10" i="24"/>
  <c r="J9" i="20"/>
  <c r="M9" i="20"/>
  <c r="F9" i="20"/>
  <c r="H9" i="20"/>
  <c r="J57" i="13"/>
  <c r="H57" i="13"/>
  <c r="M56" i="13"/>
  <c r="J56" i="13"/>
  <c r="H56" i="13"/>
  <c r="F56" i="13"/>
  <c r="M55" i="13"/>
  <c r="J55" i="13"/>
  <c r="H55" i="13"/>
  <c r="F55" i="13"/>
  <c r="M54" i="13"/>
  <c r="J54" i="13"/>
  <c r="H54" i="13"/>
  <c r="F54" i="13"/>
  <c r="M53" i="13"/>
  <c r="J53" i="13"/>
  <c r="H53" i="13"/>
  <c r="F53" i="13"/>
  <c r="M52" i="13"/>
  <c r="J52" i="13"/>
  <c r="H52" i="13"/>
  <c r="F52" i="13"/>
  <c r="M51" i="13"/>
  <c r="J51" i="13"/>
  <c r="H51" i="13"/>
  <c r="F51" i="13"/>
  <c r="M50" i="13"/>
  <c r="J50" i="13"/>
  <c r="H50" i="13"/>
  <c r="F50" i="13"/>
  <c r="M49" i="13"/>
  <c r="J49" i="13"/>
  <c r="H49" i="13"/>
  <c r="F49" i="13"/>
  <c r="M48" i="13"/>
  <c r="J48" i="13"/>
  <c r="H48" i="13"/>
  <c r="F48" i="13"/>
  <c r="M47" i="13"/>
  <c r="J47" i="13"/>
  <c r="H47" i="13"/>
  <c r="F47" i="13"/>
  <c r="I46" i="13"/>
  <c r="I58" i="13" s="1"/>
  <c r="G46" i="13"/>
  <c r="G58" i="13" s="1"/>
  <c r="E46" i="13"/>
  <c r="D46" i="13"/>
  <c r="D58" i="13" s="1"/>
  <c r="J44" i="13"/>
  <c r="H44" i="13"/>
  <c r="F44" i="13"/>
  <c r="J45" i="13"/>
  <c r="H45" i="13"/>
  <c r="F45" i="13"/>
  <c r="J42" i="13"/>
  <c r="H42" i="13"/>
  <c r="F42" i="13"/>
  <c r="M38" i="13"/>
  <c r="J38" i="13"/>
  <c r="H38" i="13"/>
  <c r="F38" i="13"/>
  <c r="M37" i="13"/>
  <c r="J37" i="13"/>
  <c r="F37" i="13"/>
  <c r="J39" i="13"/>
  <c r="H39" i="13"/>
  <c r="F39" i="13"/>
  <c r="M36" i="13"/>
  <c r="J36" i="13"/>
  <c r="F36" i="13"/>
  <c r="M35" i="13"/>
  <c r="J35" i="13"/>
  <c r="H35" i="13"/>
  <c r="F35" i="13"/>
  <c r="K27" i="13"/>
  <c r="I27" i="13"/>
  <c r="G27" i="13"/>
  <c r="F15" i="42" s="1"/>
  <c r="E27" i="13"/>
  <c r="D27" i="13"/>
  <c r="C15" i="42" s="1"/>
  <c r="C27" i="13"/>
  <c r="M26" i="13"/>
  <c r="J26" i="13"/>
  <c r="H26" i="13"/>
  <c r="F26" i="13"/>
  <c r="M25" i="13"/>
  <c r="J25" i="13"/>
  <c r="H25" i="13"/>
  <c r="F25" i="13"/>
  <c r="M24" i="13"/>
  <c r="J24" i="13"/>
  <c r="H24" i="13"/>
  <c r="F24" i="13"/>
  <c r="M23" i="13"/>
  <c r="J23" i="13"/>
  <c r="H23" i="13"/>
  <c r="F23" i="13"/>
  <c r="M22" i="13"/>
  <c r="J22" i="13"/>
  <c r="H22" i="13"/>
  <c r="F22" i="13"/>
  <c r="M21" i="13"/>
  <c r="J21" i="13"/>
  <c r="H21" i="13"/>
  <c r="F21" i="13"/>
  <c r="M20" i="13"/>
  <c r="J20" i="13"/>
  <c r="H20" i="13"/>
  <c r="F20" i="13"/>
  <c r="M19" i="13"/>
  <c r="J19" i="13"/>
  <c r="H19" i="13"/>
  <c r="F19" i="13"/>
  <c r="M18" i="13"/>
  <c r="J18" i="13"/>
  <c r="H18" i="13"/>
  <c r="F18" i="13"/>
  <c r="M17" i="13"/>
  <c r="J17" i="13"/>
  <c r="H17" i="13"/>
  <c r="F17" i="13"/>
  <c r="K28" i="13"/>
  <c r="I16" i="13"/>
  <c r="G16" i="13"/>
  <c r="E28" i="13"/>
  <c r="D16" i="13"/>
  <c r="J14" i="13"/>
  <c r="H14" i="13"/>
  <c r="F14" i="13"/>
  <c r="J15" i="13"/>
  <c r="H15" i="13"/>
  <c r="F15" i="13"/>
  <c r="J12" i="13"/>
  <c r="H12" i="13"/>
  <c r="F12" i="13"/>
  <c r="J8" i="13"/>
  <c r="H8" i="13"/>
  <c r="F8" i="13"/>
  <c r="J7" i="13"/>
  <c r="H7" i="13"/>
  <c r="F7" i="13"/>
  <c r="J9" i="13"/>
  <c r="H9" i="13"/>
  <c r="F9" i="13"/>
  <c r="M6" i="13"/>
  <c r="J6" i="13"/>
  <c r="H6" i="13"/>
  <c r="F6" i="13"/>
  <c r="M5" i="13"/>
  <c r="J5" i="13"/>
  <c r="H5" i="13"/>
  <c r="F5" i="13"/>
  <c r="C10" i="42" l="1"/>
  <c r="H10" i="42"/>
  <c r="D7" i="42"/>
  <c r="F7" i="42"/>
  <c r="M16" i="20"/>
  <c r="F16" i="26"/>
  <c r="F46" i="13"/>
  <c r="M16" i="26"/>
  <c r="B10" i="42"/>
  <c r="I28" i="13"/>
  <c r="B15" i="42"/>
  <c r="H14" i="42" s="1"/>
  <c r="F14" i="42" s="1"/>
  <c r="C16" i="22"/>
  <c r="B13" i="42" s="1"/>
  <c r="C13" i="42"/>
  <c r="F16" i="22"/>
  <c r="F16" i="21"/>
  <c r="C16" i="27"/>
  <c r="B11" i="42" s="1"/>
  <c r="C11" i="42"/>
  <c r="F16" i="27"/>
  <c r="C16" i="20"/>
  <c r="B7" i="42" s="1"/>
  <c r="J16" i="20"/>
  <c r="H16" i="20"/>
  <c r="C7" i="42"/>
  <c r="J16" i="13"/>
  <c r="M16" i="13"/>
  <c r="G28" i="13"/>
  <c r="J58" i="13"/>
  <c r="H58" i="13"/>
  <c r="H46" i="13"/>
  <c r="J46" i="13"/>
  <c r="F27" i="13"/>
  <c r="H27" i="13"/>
  <c r="J27" i="13"/>
  <c r="D28" i="13"/>
  <c r="F16" i="13"/>
  <c r="H16" i="13"/>
  <c r="M28" i="13" l="1"/>
  <c r="K46" i="13"/>
  <c r="C28" i="13"/>
  <c r="J28" i="13"/>
  <c r="H28" i="13"/>
  <c r="F28" i="13"/>
  <c r="M73" i="16"/>
  <c r="J73" i="16"/>
  <c r="H73" i="16"/>
  <c r="F73" i="16"/>
  <c r="M72" i="16"/>
  <c r="J72" i="16"/>
  <c r="H72" i="16"/>
  <c r="F72" i="16"/>
  <c r="M71" i="16"/>
  <c r="J71" i="16"/>
  <c r="H71" i="16"/>
  <c r="F71" i="16"/>
  <c r="M70" i="16"/>
  <c r="J70" i="16"/>
  <c r="H70" i="16"/>
  <c r="F70" i="16"/>
  <c r="J69" i="16"/>
  <c r="H69" i="16"/>
  <c r="F69" i="16"/>
  <c r="M68" i="16"/>
  <c r="J68" i="16"/>
  <c r="H68" i="16"/>
  <c r="F68" i="16"/>
  <c r="M67" i="16"/>
  <c r="J67" i="16"/>
  <c r="H67" i="16"/>
  <c r="F67" i="16"/>
  <c r="M66" i="16"/>
  <c r="J66" i="16"/>
  <c r="H66" i="16"/>
  <c r="F66" i="16"/>
  <c r="M65" i="16"/>
  <c r="J65" i="16"/>
  <c r="H65" i="16"/>
  <c r="F65" i="16"/>
  <c r="M64" i="16"/>
  <c r="J64" i="16"/>
  <c r="H64" i="16"/>
  <c r="F64" i="16"/>
  <c r="M63" i="16"/>
  <c r="J63" i="16"/>
  <c r="H63" i="16"/>
  <c r="F63" i="16"/>
  <c r="M62" i="16"/>
  <c r="J62" i="16"/>
  <c r="H62" i="16"/>
  <c r="F62" i="16"/>
  <c r="J60" i="16"/>
  <c r="H60" i="16"/>
  <c r="F60" i="16"/>
  <c r="M58" i="16"/>
  <c r="J58" i="16"/>
  <c r="H58" i="16"/>
  <c r="F58" i="16"/>
  <c r="M56" i="16"/>
  <c r="J56" i="16"/>
  <c r="H56" i="16"/>
  <c r="F56" i="16"/>
  <c r="M55" i="16"/>
  <c r="J55" i="16"/>
  <c r="H55" i="16"/>
  <c r="F55" i="16"/>
  <c r="J50" i="16"/>
  <c r="H50" i="16"/>
  <c r="F50" i="16"/>
  <c r="J45" i="16"/>
  <c r="H45" i="16"/>
  <c r="F45" i="16"/>
  <c r="J44" i="16"/>
  <c r="H44" i="16"/>
  <c r="F44" i="16"/>
  <c r="J36" i="16"/>
  <c r="H36" i="16"/>
  <c r="F36" i="16"/>
  <c r="M31" i="16"/>
  <c r="J31" i="16"/>
  <c r="H31" i="16"/>
  <c r="F31" i="16"/>
  <c r="M30" i="16"/>
  <c r="J30" i="16"/>
  <c r="H30" i="16"/>
  <c r="F30" i="16"/>
  <c r="M29" i="16"/>
  <c r="J29" i="16"/>
  <c r="H29" i="16"/>
  <c r="F29" i="16"/>
  <c r="M28" i="16"/>
  <c r="J28" i="16"/>
  <c r="H28" i="16"/>
  <c r="F28" i="16"/>
  <c r="J26" i="16"/>
  <c r="H26" i="16"/>
  <c r="F26" i="16"/>
  <c r="J24" i="16"/>
  <c r="H24" i="16"/>
  <c r="F24" i="16"/>
  <c r="J23" i="16"/>
  <c r="H23" i="16"/>
  <c r="F23" i="16"/>
  <c r="J22" i="16"/>
  <c r="H22" i="16"/>
  <c r="F22" i="16"/>
  <c r="H20" i="16"/>
  <c r="F20" i="16"/>
  <c r="H19" i="16"/>
  <c r="F19" i="16"/>
  <c r="H18" i="16"/>
  <c r="F18" i="16"/>
  <c r="M16" i="16"/>
  <c r="H16" i="16"/>
  <c r="F16" i="16"/>
  <c r="M14" i="16"/>
  <c r="H14" i="16"/>
  <c r="F14" i="16"/>
  <c r="H13" i="16"/>
  <c r="F13" i="16"/>
  <c r="H11" i="16"/>
  <c r="F11" i="16"/>
  <c r="M9" i="16"/>
  <c r="M8" i="16"/>
  <c r="H8" i="16"/>
  <c r="F8" i="16"/>
  <c r="M7" i="16"/>
  <c r="H7" i="16"/>
  <c r="F7" i="16"/>
  <c r="I6" i="16"/>
  <c r="I76" i="16" s="1"/>
  <c r="M76" i="16" s="1"/>
  <c r="D6" i="16"/>
  <c r="D76" i="16" s="1"/>
  <c r="C6" i="16"/>
  <c r="C76" i="16" s="1"/>
  <c r="M5" i="16"/>
  <c r="H5" i="16"/>
  <c r="F5" i="16"/>
  <c r="K58" i="13" l="1"/>
  <c r="M58" i="13" s="1"/>
  <c r="J6" i="16"/>
  <c r="F75" i="16"/>
  <c r="M27" i="13"/>
  <c r="M46" i="13"/>
  <c r="F27" i="16"/>
  <c r="F6" i="16"/>
  <c r="M6" i="16"/>
  <c r="M27" i="16"/>
  <c r="M153" i="16"/>
  <c r="J75" i="16"/>
  <c r="J61" i="16"/>
  <c r="M61" i="16"/>
  <c r="M34" i="16"/>
  <c r="J27" i="16"/>
  <c r="H75" i="16"/>
  <c r="F61" i="16"/>
  <c r="H61" i="16"/>
  <c r="H27" i="16"/>
  <c r="H6" i="16"/>
  <c r="J125" i="45"/>
  <c r="H125" i="45"/>
  <c r="F125" i="45"/>
  <c r="M124" i="45"/>
  <c r="J124" i="45"/>
  <c r="H124" i="45"/>
  <c r="F124" i="45"/>
  <c r="J123" i="45"/>
  <c r="H123" i="45"/>
  <c r="F123" i="45"/>
  <c r="M122" i="45"/>
  <c r="J122" i="45"/>
  <c r="H122" i="45"/>
  <c r="J121" i="45"/>
  <c r="H121" i="45"/>
  <c r="F121" i="45"/>
  <c r="J116" i="45"/>
  <c r="H116" i="45"/>
  <c r="F116" i="45"/>
  <c r="J118" i="45"/>
  <c r="H118" i="45"/>
  <c r="F118" i="45"/>
  <c r="J117" i="45"/>
  <c r="H117" i="45"/>
  <c r="F117" i="45"/>
  <c r="J112" i="45"/>
  <c r="F112" i="45"/>
  <c r="J115" i="45"/>
  <c r="H115" i="45"/>
  <c r="F115" i="45"/>
  <c r="J113" i="45"/>
  <c r="F113" i="45"/>
  <c r="M120" i="45"/>
  <c r="J120" i="45"/>
  <c r="H120" i="45"/>
  <c r="F120" i="45"/>
  <c r="J119" i="45"/>
  <c r="H119" i="45"/>
  <c r="F119" i="45"/>
  <c r="H109" i="45"/>
  <c r="F109" i="45"/>
  <c r="M108" i="45"/>
  <c r="H108" i="45"/>
  <c r="F108" i="45"/>
  <c r="H107" i="45"/>
  <c r="F107" i="45"/>
  <c r="H106" i="45"/>
  <c r="F106" i="45"/>
  <c r="H105" i="45"/>
  <c r="F105" i="45"/>
  <c r="H104" i="45"/>
  <c r="F104" i="45"/>
  <c r="F76" i="16" l="1"/>
  <c r="J76" i="16"/>
  <c r="H76" i="16"/>
  <c r="F127" i="45"/>
  <c r="M75" i="16"/>
  <c r="M127" i="45"/>
  <c r="J127" i="45"/>
  <c r="H127" i="45"/>
  <c r="I98" i="45" l="1"/>
  <c r="G98" i="45"/>
  <c r="G128" i="45" s="1"/>
  <c r="E98" i="45"/>
  <c r="E128" i="45" s="1"/>
  <c r="C98" i="45"/>
  <c r="C128" i="45" s="1"/>
  <c r="J95" i="45"/>
  <c r="H95" i="45"/>
  <c r="F95" i="45"/>
  <c r="J87" i="45"/>
  <c r="H87" i="45"/>
  <c r="F87" i="45"/>
  <c r="J84" i="45"/>
  <c r="H84" i="45"/>
  <c r="F84" i="45"/>
  <c r="J83" i="45"/>
  <c r="H83" i="45"/>
  <c r="F83" i="45"/>
  <c r="J82" i="45"/>
  <c r="H82" i="45"/>
  <c r="F82" i="45"/>
  <c r="M81" i="45"/>
  <c r="J81" i="45"/>
  <c r="H81" i="45"/>
  <c r="F81" i="45"/>
  <c r="M80" i="45"/>
  <c r="J80" i="45"/>
  <c r="H80" i="45"/>
  <c r="F80" i="45"/>
  <c r="J79" i="45"/>
  <c r="H79" i="45"/>
  <c r="F79" i="45"/>
  <c r="F128" i="45" l="1"/>
  <c r="I128" i="45"/>
  <c r="M98" i="45"/>
  <c r="H128" i="45"/>
  <c r="F98" i="45"/>
  <c r="H98" i="45"/>
  <c r="J98" i="45"/>
  <c r="J78" i="45"/>
  <c r="H78" i="45"/>
  <c r="F78" i="45"/>
  <c r="J77" i="45"/>
  <c r="H77" i="45"/>
  <c r="F77" i="45"/>
  <c r="J76" i="45"/>
  <c r="H76" i="45"/>
  <c r="F76" i="45"/>
  <c r="J75" i="45"/>
  <c r="H75" i="45"/>
  <c r="F75" i="45"/>
  <c r="M74" i="45"/>
  <c r="J74" i="45"/>
  <c r="H74" i="45"/>
  <c r="J73" i="45"/>
  <c r="H73" i="45"/>
  <c r="J72" i="45"/>
  <c r="H72" i="45"/>
  <c r="F72" i="45"/>
  <c r="J71" i="45"/>
  <c r="H71" i="45"/>
  <c r="F71" i="45"/>
  <c r="M70" i="45"/>
  <c r="J70" i="45"/>
  <c r="H70" i="45"/>
  <c r="F70" i="45"/>
  <c r="M69" i="45"/>
  <c r="J69" i="45"/>
  <c r="H69" i="45"/>
  <c r="F69" i="45"/>
  <c r="J68" i="45"/>
  <c r="H68" i="45"/>
  <c r="F68" i="45"/>
  <c r="J67" i="45"/>
  <c r="H67" i="45"/>
  <c r="F67" i="45"/>
  <c r="M128" i="45" l="1"/>
  <c r="J128" i="45"/>
  <c r="I61" i="45"/>
  <c r="M61" i="45" s="1"/>
  <c r="C61" i="45"/>
  <c r="J60" i="45"/>
  <c r="H60" i="45"/>
  <c r="J59" i="45" l="1"/>
  <c r="H59" i="45"/>
  <c r="F59" i="45"/>
  <c r="M58" i="45"/>
  <c r="J58" i="45"/>
  <c r="I57" i="45"/>
  <c r="G57" i="45"/>
  <c r="G61" i="45" s="1"/>
  <c r="E57" i="45"/>
  <c r="E61" i="45" s="1"/>
  <c r="D57" i="45"/>
  <c r="D61" i="45" s="1"/>
  <c r="J61" i="45" s="1"/>
  <c r="C57" i="45"/>
  <c r="J55" i="45"/>
  <c r="H55" i="45"/>
  <c r="F55" i="45"/>
  <c r="J54" i="45"/>
  <c r="H54" i="45"/>
  <c r="F54" i="45"/>
  <c r="J53" i="45"/>
  <c r="H53" i="45"/>
  <c r="F53" i="45"/>
  <c r="J52" i="45"/>
  <c r="H52" i="45"/>
  <c r="F52" i="45"/>
  <c r="J50" i="45"/>
  <c r="H50" i="45"/>
  <c r="F50" i="45"/>
  <c r="J51" i="45"/>
  <c r="H51" i="45"/>
  <c r="F51" i="45"/>
  <c r="J48" i="45"/>
  <c r="H48" i="45"/>
  <c r="F48" i="45"/>
  <c r="J41" i="45"/>
  <c r="H41" i="45"/>
  <c r="F41" i="45"/>
  <c r="J45" i="45"/>
  <c r="H45" i="45"/>
  <c r="F45" i="45"/>
  <c r="J49" i="45"/>
  <c r="H49" i="45"/>
  <c r="F49" i="45"/>
  <c r="J44" i="45"/>
  <c r="H44" i="45"/>
  <c r="F44" i="45"/>
  <c r="J43" i="45"/>
  <c r="H43" i="45"/>
  <c r="F43" i="45"/>
  <c r="J42" i="45"/>
  <c r="H42" i="45"/>
  <c r="F42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M30" i="45"/>
  <c r="J30" i="45"/>
  <c r="H30" i="45"/>
  <c r="F30" i="45"/>
  <c r="M29" i="45"/>
  <c r="J29" i="45"/>
  <c r="H29" i="45"/>
  <c r="F29" i="45"/>
  <c r="J28" i="45"/>
  <c r="H28" i="45"/>
  <c r="F28" i="45"/>
  <c r="J27" i="45"/>
  <c r="H27" i="45"/>
  <c r="F27" i="45"/>
  <c r="M26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H22" i="45"/>
  <c r="F22" i="45"/>
  <c r="J21" i="45"/>
  <c r="H21" i="45"/>
  <c r="F21" i="45"/>
  <c r="M20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M14" i="45"/>
  <c r="J14" i="45"/>
  <c r="H14" i="45"/>
  <c r="F14" i="45"/>
  <c r="M13" i="45"/>
  <c r="J13" i="45"/>
  <c r="H13" i="45"/>
  <c r="F13" i="45"/>
  <c r="M12" i="45"/>
  <c r="J12" i="45"/>
  <c r="H12" i="45"/>
  <c r="F12" i="45"/>
  <c r="I11" i="45"/>
  <c r="G11" i="45"/>
  <c r="E11" i="45"/>
  <c r="D11" i="45"/>
  <c r="C11" i="45"/>
  <c r="M9" i="45"/>
  <c r="M10" i="45"/>
  <c r="M8" i="45"/>
  <c r="M7" i="45"/>
  <c r="M6" i="45"/>
  <c r="M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E16" i="1"/>
  <c r="C16" i="1"/>
  <c r="M15" i="1"/>
  <c r="J15" i="1"/>
  <c r="H15" i="1"/>
  <c r="M14" i="1"/>
  <c r="J14" i="1"/>
  <c r="H14" i="1"/>
  <c r="K13" i="1"/>
  <c r="H9" i="14" s="1"/>
  <c r="J9" i="14" s="1"/>
  <c r="I13" i="1"/>
  <c r="E13" i="1"/>
  <c r="C13" i="1"/>
  <c r="M12" i="1"/>
  <c r="J12" i="1"/>
  <c r="H12" i="1"/>
  <c r="P11" i="1"/>
  <c r="M11" i="1"/>
  <c r="J11" i="1"/>
  <c r="H11" i="1"/>
  <c r="K10" i="1"/>
  <c r="G17" i="1"/>
  <c r="P8" i="1"/>
  <c r="M8" i="1"/>
  <c r="J8" i="1"/>
  <c r="P7" i="1"/>
  <c r="M7" i="1"/>
  <c r="J7" i="1"/>
  <c r="H7" i="1"/>
  <c r="P6" i="1"/>
  <c r="M6" i="1"/>
  <c r="J6" i="1"/>
  <c r="H6" i="1"/>
  <c r="M5" i="1"/>
  <c r="J5" i="1"/>
  <c r="H5" i="1"/>
  <c r="F61" i="45" l="1"/>
  <c r="H61" i="45"/>
  <c r="H6" i="14"/>
  <c r="J6" i="14" s="1"/>
  <c r="M10" i="1"/>
  <c r="O27" i="1"/>
  <c r="C129" i="45"/>
  <c r="O33" i="1"/>
  <c r="P33" i="1" s="1"/>
  <c r="D129" i="45"/>
  <c r="E129" i="45"/>
  <c r="P16" i="1"/>
  <c r="E17" i="1"/>
  <c r="C17" i="1"/>
  <c r="D9" i="1" s="1"/>
  <c r="H16" i="1"/>
  <c r="H13" i="1"/>
  <c r="G129" i="45"/>
  <c r="K17" i="1"/>
  <c r="F57" i="45"/>
  <c r="I17" i="1"/>
  <c r="F5" i="42" s="1"/>
  <c r="J57" i="45"/>
  <c r="M57" i="45"/>
  <c r="M11" i="45"/>
  <c r="H57" i="45"/>
  <c r="F11" i="45"/>
  <c r="H11" i="45"/>
  <c r="J11" i="45"/>
  <c r="M16" i="1"/>
  <c r="P13" i="1"/>
  <c r="M13" i="1"/>
  <c r="P10" i="1"/>
  <c r="P29" i="1"/>
  <c r="P28" i="1"/>
  <c r="J16" i="1"/>
  <c r="J13" i="1"/>
  <c r="H10" i="1"/>
  <c r="J10" i="1"/>
  <c r="K29" i="44"/>
  <c r="F29" i="44"/>
  <c r="K28" i="44"/>
  <c r="F28" i="44"/>
  <c r="L16" i="1" l="1"/>
  <c r="D5" i="1"/>
  <c r="D7" i="1"/>
  <c r="D6" i="1"/>
  <c r="D8" i="1"/>
  <c r="H129" i="45"/>
  <c r="F129" i="45"/>
  <c r="F10" i="1"/>
  <c r="P27" i="1"/>
  <c r="C6" i="42"/>
  <c r="C5" i="42"/>
  <c r="F16" i="1"/>
  <c r="H17" i="1"/>
  <c r="F13" i="1"/>
  <c r="D6" i="42"/>
  <c r="H6" i="42"/>
  <c r="L14" i="1"/>
  <c r="L12" i="1"/>
  <c r="L7" i="1"/>
  <c r="L5" i="1"/>
  <c r="L15" i="1"/>
  <c r="L13" i="1"/>
  <c r="L11" i="1"/>
  <c r="L8" i="1"/>
  <c r="L6" i="1"/>
  <c r="L10" i="1"/>
  <c r="F14" i="1"/>
  <c r="F12" i="1"/>
  <c r="F7" i="1"/>
  <c r="F5" i="1"/>
  <c r="F15" i="1"/>
  <c r="F11" i="1"/>
  <c r="F8" i="1"/>
  <c r="F6" i="1"/>
  <c r="B5" i="42"/>
  <c r="D14" i="1"/>
  <c r="D12" i="1"/>
  <c r="D15" i="1"/>
  <c r="D11" i="1"/>
  <c r="D13" i="1"/>
  <c r="D16" i="1"/>
  <c r="D10" i="1"/>
  <c r="B6" i="42"/>
  <c r="M17" i="1"/>
  <c r="F6" i="42"/>
  <c r="P17" i="1"/>
  <c r="J17" i="1"/>
  <c r="K31" i="44"/>
  <c r="H31" i="44"/>
  <c r="E16" i="44" l="1"/>
  <c r="D16" i="44"/>
  <c r="C16" i="44"/>
  <c r="H8" i="44"/>
  <c r="C8" i="44"/>
  <c r="K16" i="44" l="1"/>
  <c r="H16" i="44"/>
  <c r="D17" i="44"/>
  <c r="F16" i="44"/>
  <c r="E17" i="44"/>
  <c r="F8" i="44"/>
  <c r="C17" i="44"/>
  <c r="K67" i="43"/>
  <c r="G67" i="43"/>
  <c r="C67" i="43"/>
  <c r="K65" i="43"/>
  <c r="H65" i="43"/>
  <c r="F65" i="43"/>
  <c r="K64" i="43"/>
  <c r="H64" i="43"/>
  <c r="F64" i="43"/>
  <c r="K63" i="43"/>
  <c r="F63" i="43"/>
  <c r="K62" i="43"/>
  <c r="H62" i="43"/>
  <c r="F62" i="43"/>
  <c r="K61" i="43"/>
  <c r="H61" i="43"/>
  <c r="F61" i="43"/>
  <c r="G60" i="43"/>
  <c r="E60" i="43"/>
  <c r="E68" i="43" s="1"/>
  <c r="C60" i="43"/>
  <c r="K17" i="44" l="1"/>
  <c r="H17" i="44"/>
  <c r="F17" i="44"/>
  <c r="K60" i="43"/>
  <c r="H67" i="43"/>
  <c r="F67" i="43"/>
  <c r="F60" i="43"/>
  <c r="H60" i="43"/>
  <c r="H48" i="43"/>
  <c r="G37" i="43" l="1"/>
  <c r="D37" i="43" l="1"/>
  <c r="F37" i="43" s="1"/>
  <c r="C37" i="43"/>
  <c r="K36" i="43"/>
  <c r="H36" i="43"/>
  <c r="F36" i="43"/>
  <c r="K33" i="43"/>
  <c r="F33" i="43"/>
  <c r="K32" i="43"/>
  <c r="F32" i="43"/>
  <c r="K31" i="43"/>
  <c r="F31" i="43"/>
  <c r="H30" i="43"/>
  <c r="F30" i="43"/>
  <c r="K29" i="43"/>
  <c r="F29" i="43"/>
  <c r="K28" i="43"/>
  <c r="F28" i="43"/>
  <c r="K26" i="43"/>
  <c r="K37" i="43" l="1"/>
  <c r="H37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K18" i="43"/>
  <c r="F18" i="43"/>
  <c r="G14" i="43"/>
  <c r="K13" i="43"/>
  <c r="H13" i="43"/>
  <c r="F13" i="43"/>
  <c r="K12" i="43"/>
  <c r="F12" i="43"/>
  <c r="G11" i="43"/>
  <c r="H11" i="43" s="1"/>
  <c r="D68" i="43"/>
  <c r="C11" i="43"/>
  <c r="F10" i="43"/>
  <c r="F8" i="43"/>
  <c r="K7" i="43"/>
  <c r="F7" i="43"/>
  <c r="K6" i="43"/>
  <c r="F6" i="43"/>
  <c r="K68" i="43" l="1"/>
  <c r="G68" i="43"/>
  <c r="H68" i="43" s="1"/>
  <c r="C68" i="43"/>
  <c r="K14" i="43"/>
  <c r="F14" i="43"/>
  <c r="H14" i="43"/>
  <c r="F11" i="43"/>
  <c r="K11" i="43"/>
  <c r="F68" i="43"/>
  <c r="H11" i="14"/>
  <c r="J11" i="14" s="1"/>
  <c r="H8" i="14" l="1"/>
  <c r="J8" i="14" s="1"/>
  <c r="H5" i="14"/>
  <c r="H7" i="14" l="1"/>
  <c r="J5" i="14"/>
  <c r="F17" i="14"/>
  <c r="J7" i="14" l="1"/>
  <c r="H10" i="14"/>
  <c r="C4" i="42"/>
  <c r="E17" i="14"/>
  <c r="H17" i="14"/>
  <c r="E18" i="14"/>
  <c r="G18" i="14"/>
  <c r="D17" i="14"/>
  <c r="H13" i="14" l="1"/>
  <c r="J13" i="14" s="1"/>
  <c r="J10" i="14"/>
  <c r="I18" i="14"/>
  <c r="I17" i="14"/>
  <c r="G17" i="14"/>
  <c r="D18" i="14"/>
  <c r="C17" i="14"/>
  <c r="F18" i="14"/>
  <c r="H18" i="14" l="1"/>
  <c r="C18" i="14"/>
  <c r="H15" i="42"/>
  <c r="B4" i="42"/>
  <c r="D34" i="1" l="1"/>
  <c r="E34" i="1"/>
  <c r="C34" i="1"/>
  <c r="I34" i="1"/>
  <c r="I129" i="45" l="1"/>
  <c r="J129" i="45" l="1"/>
  <c r="M129" i="45"/>
  <c r="D5" i="42"/>
  <c r="H5" i="42" l="1"/>
  <c r="J153" i="16" l="1"/>
  <c r="F153" i="16" l="1"/>
  <c r="H153" i="16"/>
  <c r="E58" i="13"/>
  <c r="D17" i="24"/>
  <c r="E17" i="24"/>
  <c r="I17" i="24"/>
  <c r="G17" i="24"/>
  <c r="C8" i="42"/>
  <c r="C17" i="24"/>
  <c r="B8" i="42" s="1"/>
  <c r="F8" i="42" l="1"/>
  <c r="D8" i="42"/>
  <c r="F58" i="13"/>
  <c r="J17" i="24"/>
  <c r="H8" i="42"/>
  <c r="M17" i="24"/>
  <c r="H17" i="24"/>
  <c r="F17" i="24"/>
  <c r="D16" i="25"/>
  <c r="C9" i="42" s="1"/>
  <c r="E16" i="25"/>
  <c r="D9" i="42" s="1"/>
  <c r="I16" i="25"/>
  <c r="M16" i="25" s="1"/>
  <c r="G16" i="25"/>
  <c r="F9" i="42" s="1"/>
  <c r="C16" i="25"/>
  <c r="B9" i="42" s="1"/>
  <c r="J16" i="25" l="1"/>
  <c r="H9" i="42"/>
  <c r="H16" i="25"/>
  <c r="F16" i="25"/>
  <c r="G16" i="26"/>
  <c r="G16" i="27"/>
  <c r="H16" i="27" s="1"/>
  <c r="I16" i="27"/>
  <c r="J16" i="27" l="1"/>
  <c r="H16" i="26"/>
  <c r="H11" i="42"/>
  <c r="F10" i="42"/>
  <c r="F11" i="42"/>
  <c r="M16" i="27"/>
  <c r="G16" i="21"/>
  <c r="H16" i="21" s="1"/>
  <c r="I16" i="21"/>
  <c r="J16" i="21" s="1"/>
  <c r="G16" i="22"/>
  <c r="H16" i="22" s="1"/>
  <c r="I16" i="22"/>
  <c r="J16" i="22" s="1"/>
  <c r="E16" i="28"/>
  <c r="D15" i="42" l="1"/>
  <c r="H13" i="42"/>
  <c r="F13" i="42"/>
  <c r="F16" i="28"/>
  <c r="M16" i="22"/>
  <c r="M16" i="21"/>
  <c r="K30" i="1"/>
  <c r="O30" i="1" s="1"/>
  <c r="P30" i="1" l="1"/>
  <c r="O34" i="1"/>
  <c r="K34" i="1"/>
  <c r="P34" i="1" l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5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8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59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0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65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68" authorId="0">
      <text>
        <r>
          <rPr>
            <sz val="9"/>
            <color indexed="81"/>
            <rFont val="Tahoma"/>
            <family val="2"/>
          </rPr>
          <t xml:space="preserve">Canvi codificacions programes 2015: incorporació </t>
        </r>
      </text>
    </comment>
    <comment ref="B74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  <comment ref="C8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B91" authorId="0">
      <text>
        <r>
          <rPr>
            <sz val="9"/>
            <color indexed="81"/>
            <rFont val="Tahoma"/>
            <family val="2"/>
          </rPr>
          <t>Canvi codificació programes 2015: modificació nom del grup i incorporació del grup 459</t>
        </r>
      </text>
    </comment>
    <comment ref="B94" authorId="0">
      <text>
        <r>
          <rPr>
            <sz val="9"/>
            <color indexed="81"/>
            <rFont val="Tahoma"/>
            <family val="2"/>
          </rPr>
          <t>Canvi codificació programes 2015: sanejament xarxa de clavegueram passa del grup 161 (2014) al 160</t>
        </r>
      </text>
    </comment>
    <comment ref="B102" authorId="0">
      <text>
        <r>
          <rPr>
            <sz val="9"/>
            <color indexed="81"/>
            <rFont val="Tahoma"/>
            <family val="2"/>
          </rPr>
          <t>Canvi codificació programes 2015: una part del grup 179 (any 2014) passa a formar part del 172</t>
        </r>
      </text>
    </comment>
    <comment ref="B107" authorId="0">
      <text>
        <r>
          <rPr>
            <sz val="9"/>
            <color indexed="81"/>
            <rFont val="Tahoma"/>
            <family val="2"/>
          </rPr>
          <t xml:space="preserve">Canvi codificació programes 2015: incorporació al grup alguna partida del grup 231 i 169
</t>
        </r>
      </text>
    </comment>
    <comment ref="B112" authorId="0">
      <text>
        <r>
          <rPr>
            <sz val="9"/>
            <color indexed="81"/>
            <rFont val="Tahoma"/>
            <family val="2"/>
          </rPr>
          <t>Canvi codificació programes 2015: l'antic grup 313 ara passa a formar part del 311</t>
        </r>
      </text>
    </comment>
    <comment ref="B115" authorId="0">
      <text>
        <r>
          <rPr>
            <sz val="9"/>
            <color indexed="81"/>
            <rFont val="Tahoma"/>
            <family val="2"/>
          </rPr>
          <t>Canvi codificació programes 2015: PART de l'antic grup 321 i 325 passa a ser el grup 323</t>
        </r>
      </text>
    </comment>
    <comment ref="B116" authorId="0">
      <text>
        <r>
          <rPr>
            <sz val="9"/>
            <color indexed="81"/>
            <rFont val="Tahoma"/>
            <family val="2"/>
          </rPr>
          <t>Canvi codificació programes 2015: l'antic grup 322 passa a ser el nou 324</t>
        </r>
      </text>
    </comment>
    <comment ref="B117" authorId="0">
      <text>
        <r>
          <rPr>
            <sz val="9"/>
            <color indexed="81"/>
            <rFont val="Tahoma"/>
            <family val="2"/>
          </rPr>
          <t xml:space="preserve">Canvi codificació programa 2015: es compara amb els grups 323 i 324 dels anys anteriors
</t>
        </r>
      </text>
    </comment>
    <comment ref="B118" authorId="0">
      <text>
        <r>
          <rPr>
            <sz val="9"/>
            <color indexed="81"/>
            <rFont val="Tahoma"/>
            <family val="2"/>
          </rPr>
          <t>Canvi codificació programes 2015: l'antic grup 325 passa a ser el 328</t>
        </r>
      </text>
    </comment>
    <comment ref="B119" authorId="0">
      <text>
        <r>
          <rPr>
            <sz val="9"/>
            <color indexed="81"/>
            <rFont val="Tahoma"/>
            <family val="2"/>
          </rPr>
          <t>Canvi codificació programes 2015: la part bressol de l'antic compte 321 passa al nou grup 329</t>
        </r>
      </text>
    </comment>
    <comment ref="B122" authorId="0">
      <text>
        <r>
          <rPr>
            <sz val="9"/>
            <color indexed="81"/>
            <rFont val="Tahoma"/>
            <family val="2"/>
          </rPr>
          <t>Canvi codificacions programes 2015: incoporació de l'antic grup 335</t>
        </r>
      </text>
    </comment>
    <comment ref="B125" authorId="0">
      <text>
        <r>
          <rPr>
            <sz val="9"/>
            <color indexed="81"/>
            <rFont val="Tahoma"/>
            <family val="2"/>
          </rPr>
          <t>Canvi codificacions programes 2015: aquest grup incorpora els centres cívics inclosos en l'antic grup 334</t>
        </r>
      </text>
    </comment>
    <comment ref="B133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5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6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37" authorId="0">
      <text>
        <r>
          <rPr>
            <sz val="9"/>
            <color indexed="81"/>
            <rFont val="Tahoma"/>
            <family val="2"/>
          </rPr>
          <t>Canvi codificacions programes 2015: modificació del nom del grup que no afecta pressupostàriament</t>
        </r>
      </text>
    </comment>
    <comment ref="B142" authorId="0">
      <text>
        <r>
          <rPr>
            <sz val="9"/>
            <color indexed="81"/>
            <rFont val="Tahoma"/>
            <family val="2"/>
          </rPr>
          <t>Canvi codificacions programes 2015: incoporació d'una part de l'antic 926 (padró habitants)</t>
        </r>
      </text>
    </comment>
    <comment ref="B151" authorId="0">
      <text>
        <r>
          <rPr>
            <sz val="9"/>
            <color indexed="81"/>
            <rFont val="Tahoma"/>
            <family val="2"/>
          </rPr>
          <t>Canvi codificacions programes 2015: l'antic grup 942 passa a ser el nou 943</t>
        </r>
      </text>
    </comment>
  </commentList>
</comments>
</file>

<file path=xl/sharedStrings.xml><?xml version="1.0" encoding="utf-8"?>
<sst xmlns="http://schemas.openxmlformats.org/spreadsheetml/2006/main" count="1960" uniqueCount="579">
  <si>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</si>
  <si>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</si>
  <si>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</si>
  <si>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</si>
  <si>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</si>
  <si>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</si>
  <si>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</si>
  <si>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</si>
  <si>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</si>
  <si>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</si>
  <si>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</si>
  <si>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</si>
  <si>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</si>
  <si>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</si>
  <si>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</si>
  <si>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</si>
  <si>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</si>
  <si>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</si>
  <si>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</si>
  <si>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</si>
  <si>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</si>
  <si>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</si>
  <si>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</si>
  <si>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</si>
  <si>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</si>
  <si>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</si>
  <si>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</si>
  <si>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</si>
  <si>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</si>
  <si>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</si>
  <si>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</si>
  <si>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</si>
  <si>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</si>
  <si>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</si>
  <si>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</si>
  <si>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</si>
  <si>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</si>
  <si>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</si>
  <si>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</si>
  <si>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</si>
  <si>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</si>
  <si>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</si>
  <si>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</si>
  <si>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</si>
  <si>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</si>
  <si>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</si>
  <si>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</si>
  <si>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</si>
  <si>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</si>
  <si>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Impostos directes</t>
  </si>
  <si>
    <t>Impostos indirectes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</si>
  <si>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</si>
  <si>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</si>
  <si>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</si>
  <si>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</si>
  <si>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</si>
  <si>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</si>
  <si>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</si>
  <si>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</si>
  <si>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</si>
  <si>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</si>
  <si>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</si>
  <si>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</si>
  <si>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</si>
  <si>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</si>
  <si>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</si>
  <si>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</si>
  <si>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</si>
  <si>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</si>
  <si>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</si>
  <si>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</si>
  <si>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</si>
  <si>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</si>
  <si>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</si>
  <si>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</si>
  <si>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</si>
  <si>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</si>
  <si>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</si>
  <si>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</si>
  <si>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</si>
  <si>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</si>
  <si>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</si>
  <si>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</si>
  <si>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</si>
  <si>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</si>
  <si>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</si>
  <si>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</si>
  <si>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</si>
  <si>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</si>
  <si>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</si>
  <si>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</si>
  <si>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</si>
  <si>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</si>
  <si>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</si>
  <si>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</si>
  <si>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</si>
  <si>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</si>
  <si>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</si>
  <si>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</si>
  <si>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</si>
  <si>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</si>
  <si>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</si>
  <si>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</si>
  <si>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</si>
  <si>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</si>
  <si>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</si>
  <si>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</si>
  <si>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</si>
  <si>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</si>
  <si>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</si>
  <si>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</si>
  <si>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</si>
  <si>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</si>
  <si>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</si>
  <si>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</si>
  <si>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</si>
  <si>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</si>
  <si>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</si>
  <si>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</si>
  <si>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</si>
  <si>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</si>
  <si>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</si>
  <si>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</si>
  <si>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</si>
  <si>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</si>
  <si>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</si>
  <si>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</si>
  <si>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</si>
  <si>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</si>
  <si>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</si>
  <si>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</si>
  <si>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</si>
  <si>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</si>
  <si>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</si>
  <si>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</si>
  <si>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</si>
  <si>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</si>
  <si>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</si>
  <si>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</si>
  <si>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</si>
  <si>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</si>
  <si>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</si>
  <si>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</si>
  <si>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</si>
  <si>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</si>
  <si>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</si>
  <si>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</si>
  <si>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</si>
  <si>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</si>
  <si>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</si>
  <si>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</si>
  <si>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</si>
  <si>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</si>
  <si>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</si>
  <si>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</si>
  <si>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</si>
  <si>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</si>
  <si>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CTE</t>
  </si>
  <si>
    <t>FCF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</si>
  <si>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</si>
  <si>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</si>
  <si>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</si>
  <si>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</si>
  <si>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</si>
  <si>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</si>
  <si>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</si>
  <si>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</si>
  <si>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</si>
  <si>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</si>
  <si>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</si>
  <si>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</si>
  <si>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</si>
  <si>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</si>
  <si>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</si>
  <si>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</si>
  <si>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</si>
  <si>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</si>
  <si>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</si>
  <si>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</si>
  <si>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</si>
  <si>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</si>
  <si>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</si>
  <si>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</si>
  <si>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</si>
  <si>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</si>
  <si>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</si>
  <si>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</si>
  <si>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</si>
  <si>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42 (-) 42010-42011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</si>
  <si>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</si>
  <si>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</si>
  <si>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</si>
  <si>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</si>
  <si>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</si>
  <si>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</si>
  <si>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</si>
  <si>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</si>
  <si>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</si>
  <si>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</si>
  <si>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</si>
  <si>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</si>
  <si>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</si>
  <si>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</si>
  <si>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45 (-) resta 45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</si>
  <si>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</si>
  <si>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</si>
  <si>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</si>
  <si>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</si>
  <si>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</si>
  <si>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</si>
  <si>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</si>
  <si>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</si>
  <si>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</si>
  <si>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</si>
  <si>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</si>
  <si>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</si>
  <si>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</si>
  <si>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</si>
  <si>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</si>
  <si>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</si>
  <si>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</si>
  <si>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</si>
  <si>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</si>
  <si>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</si>
  <si>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</si>
  <si>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6 (-) 60-61901</t>
  </si>
  <si>
    <t>75 (-) 75031-75070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</si>
  <si>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</si>
  <si>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</si>
  <si>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</si>
  <si>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</si>
  <si>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</si>
  <si>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</si>
  <si>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</si>
  <si>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</si>
  <si>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</si>
  <si>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</si>
  <si>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</si>
  <si>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</si>
  <si>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</si>
  <si>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</si>
  <si>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</si>
  <si>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</si>
  <si>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</si>
  <si>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</si>
  <si>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</si>
  <si>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</si>
  <si>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</si>
  <si>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</si>
  <si>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</si>
  <si>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</si>
  <si>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</si>
  <si>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</si>
  <si>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</si>
  <si>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</si>
  <si>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</si>
  <si>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</si>
  <si>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</si>
  <si>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</si>
  <si>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</si>
  <si>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</si>
  <si>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</si>
  <si>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</si>
  <si>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</si>
  <si>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</si>
  <si>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</si>
  <si>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</si>
  <si>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</si>
  <si>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</si>
  <si>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</si>
  <si>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</si>
  <si>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</si>
  <si>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</si>
  <si>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</si>
  <si>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</si>
  <si>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</si>
  <si>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</si>
  <si>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</si>
  <si>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</si>
  <si>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</si>
  <si>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</si>
  <si>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</si>
  <si>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</si>
  <si>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</si>
  <si>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</si>
  <si>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</si>
  <si>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</si>
  <si>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</si>
  <si>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</si>
  <si>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</si>
  <si>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</si>
  <si>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</si>
  <si>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</si>
  <si>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</si>
  <si>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</si>
  <si>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</si>
  <si>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</si>
  <si>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</si>
  <si>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</si>
  <si>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</si>
  <si>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</si>
  <si>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</si>
  <si>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</si>
  <si>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</si>
  <si>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</si>
  <si>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</si>
  <si>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</si>
  <si>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</si>
  <si>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</si>
  <si>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</si>
  <si>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</si>
  <si>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</si>
  <si>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</si>
  <si>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</si>
  <si>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</si>
  <si>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</si>
  <si>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</si>
  <si>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</si>
  <si>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</si>
  <si>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AMB-MMAMB</t>
  </si>
  <si>
    <t>AMB-EMSHTR (TMTR)</t>
  </si>
  <si>
    <t>AMB-EMT (Targeta Rosa)</t>
  </si>
  <si>
    <t>Resta organismes AMB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</si>
  <si>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</si>
  <si>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</si>
  <si>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</si>
  <si>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</si>
  <si>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</si>
  <si>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</si>
  <si>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</si>
  <si>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</si>
  <si>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</si>
  <si>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</si>
  <si>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</si>
  <si>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</si>
  <si>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</si>
  <si>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</si>
  <si>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</si>
  <si>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</si>
  <si>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</si>
  <si>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</si>
  <si>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</si>
  <si>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</si>
  <si>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</si>
  <si>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</si>
  <si>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</si>
  <si>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</si>
  <si>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</si>
  <si>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</si>
  <si>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</si>
  <si>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</si>
  <si>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</si>
  <si>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</si>
  <si>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</si>
  <si>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</si>
  <si>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</si>
  <si>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</si>
  <si>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</si>
  <si>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</si>
  <si>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</si>
  <si>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</si>
  <si>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</si>
  <si>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</si>
  <si>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</si>
  <si>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</si>
  <si>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</si>
  <si>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</si>
  <si>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</si>
  <si>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41060</t>
  </si>
  <si>
    <t>41070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</si>
  <si>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</si>
  <si>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</si>
  <si>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</si>
  <si>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</si>
  <si>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</si>
  <si>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</si>
  <si>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</si>
  <si>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</si>
  <si>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</si>
  <si>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</si>
  <si>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</si>
  <si>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</si>
  <si>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</si>
  <si>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</si>
  <si>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</si>
  <si>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</si>
  <si>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</si>
  <si>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</si>
  <si>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</si>
  <si>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</si>
  <si>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</si>
  <si>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</si>
  <si>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</si>
  <si>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</si>
  <si>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</si>
  <si>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</si>
  <si>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</si>
  <si>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</si>
  <si>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</si>
  <si>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</si>
  <si>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</si>
  <si>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</si>
  <si>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</si>
  <si>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</si>
  <si>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</si>
  <si>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</si>
  <si>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</si>
  <si>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</si>
  <si>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</si>
  <si>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r>
      <t xml:space="preserve">% Capacitat (Necessitat) finançament
</t>
    </r>
    <r>
      <rPr>
        <sz val="8"/>
        <color theme="1"/>
        <rFont val="Arial"/>
        <family val="2"/>
      </rPr>
      <t>(abans d'ajustos CN)</t>
    </r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</si>
  <si>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</si>
  <si>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</si>
  <si>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</si>
  <si>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</si>
  <si>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</si>
  <si>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</si>
  <si>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</si>
  <si>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</si>
  <si>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>559-550 (-) 55000-551</t>
  </si>
  <si>
    <t xml:space="preserve">Transf.en matèria d'ocupació </t>
  </si>
  <si>
    <t>Aportació AMB pel manteniment de rondes</t>
  </si>
  <si>
    <t>0502</t>
  </si>
  <si>
    <t>0501</t>
  </si>
  <si>
    <t>0703</t>
  </si>
  <si>
    <t>Accions BCN Emprèn</t>
  </si>
  <si>
    <t>SUPL.</t>
  </si>
  <si>
    <t>Grup de programes</t>
  </si>
  <si>
    <t>Ajuntaments</t>
  </si>
  <si>
    <t>45040-41-42-44-45-46-47-48</t>
  </si>
  <si>
    <t>44300+44301+44302</t>
  </si>
  <si>
    <t>Festes populars</t>
  </si>
  <si>
    <t>Ap. a la Gen., SM, EPES I OOAA</t>
  </si>
  <si>
    <t>Romanents de tresoreria</t>
  </si>
  <si>
    <t>2013 L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</si>
  <si>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</si>
  <si>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</si>
  <si>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</si>
  <si>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</si>
  <si>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</si>
  <si>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</si>
  <si>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Resum per grups de programa*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</si>
  <si>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</si>
  <si>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</si>
  <si>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</si>
  <si>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</si>
  <si>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</si>
  <si>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</si>
  <si>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</si>
  <si>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1*</t>
  </si>
  <si>
    <t>CRED. EXTRA.</t>
  </si>
  <si>
    <t>Actius financers*</t>
  </si>
  <si>
    <t>41040-41041</t>
  </si>
  <si>
    <t>0504</t>
  </si>
  <si>
    <t>Saldo minitransf.</t>
  </si>
  <si>
    <t>44400-01-02-03-04-05-06</t>
  </si>
  <si>
    <t>Bagursa. Ajuts lloguer</t>
  </si>
  <si>
    <t>450-451-453</t>
  </si>
  <si>
    <t>2014 L</t>
  </si>
  <si>
    <t>*S/ Nova estructura de programes 2014</t>
  </si>
  <si>
    <t>2013 P</t>
  </si>
  <si>
    <t>2014 P</t>
  </si>
  <si>
    <t>Venda d'accions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</si>
  <si>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</si>
  <si>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</si>
  <si>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</si>
  <si>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</si>
  <si>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</si>
  <si>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</si>
  <si>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</si>
  <si>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</si>
  <si>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</si>
  <si>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</si>
  <si>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</si>
  <si>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</si>
  <si>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</si>
  <si>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Fons de contingència social</t>
  </si>
  <si>
    <t>Resum per orgànics i despesa corrent (capítols 1 a 5)</t>
  </si>
  <si>
    <t>Resum per grups de programa. D.corrent</t>
  </si>
  <si>
    <t>*No s'inclouen els romanents de tresoreria</t>
  </si>
  <si>
    <t>2015 P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</si>
  <si>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</si>
  <si>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</si>
  <si>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</si>
  <si>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</si>
  <si>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</si>
  <si>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</si>
  <si>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</si>
  <si>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</si>
  <si>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</si>
  <si>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</si>
  <si>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</si>
  <si>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</si>
  <si>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</si>
  <si>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</si>
  <si>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</si>
  <si>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</si>
  <si>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Festes populars i festejos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</si>
  <si>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</si>
  <si>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</si>
  <si>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</si>
  <si>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</si>
  <si>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</si>
  <si>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</si>
  <si>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</si>
  <si>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</si>
  <si>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</si>
  <si>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</si>
  <si>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</si>
  <si>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</si>
  <si>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</si>
  <si>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</si>
  <si>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</si>
  <si>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</si>
  <si>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2013 (2012P)</t>
  </si>
  <si>
    <t>2014P</t>
  </si>
  <si>
    <t>2015 L</t>
  </si>
  <si>
    <t>Var. 15/14</t>
  </si>
  <si>
    <t>V.15/14</t>
  </si>
  <si>
    <t>Administració Marçal de la Seguretat i Mobilitat</t>
  </si>
  <si>
    <t>Administració Marçal d'Habitatge i Urbanisme</t>
  </si>
  <si>
    <t>Administració Marçal de Serveis Socials</t>
  </si>
  <si>
    <t>Administració Marçal d'Educació</t>
  </si>
  <si>
    <t>Administració Marçal de Cultura</t>
  </si>
  <si>
    <t>Rom.tresoreria per despeses Marçals</t>
  </si>
  <si>
    <t>41030-41031-41032</t>
  </si>
  <si>
    <t>AL 2014 NO</t>
  </si>
  <si>
    <t>135 DEL 2014</t>
  </si>
  <si>
    <t>153 DEL 2014</t>
  </si>
  <si>
    <t>155+157 DEL 2014</t>
  </si>
  <si>
    <t>161 DEL 2014</t>
  </si>
  <si>
    <t>231+233 AL 2014</t>
  </si>
  <si>
    <t>313 AL 2014</t>
  </si>
  <si>
    <t>322+323 AL 2014</t>
  </si>
  <si>
    <t>324 AL 2014</t>
  </si>
  <si>
    <t>325 AL 2014</t>
  </si>
  <si>
    <t>321 AL 2014</t>
  </si>
  <si>
    <t>333+335 AL 2014</t>
  </si>
  <si>
    <t>942 AL 2014</t>
  </si>
  <si>
    <t>135 AL 2014</t>
  </si>
  <si>
    <t>153 AL 2014</t>
  </si>
  <si>
    <t>155+157 AL 2014</t>
  </si>
  <si>
    <t>161 AL 2014</t>
  </si>
  <si>
    <t>Resum per orgànics i despesa corrent</t>
  </si>
  <si>
    <t xml:space="preserve">Contribucions especials </t>
  </si>
  <si>
    <t>Generació ingressos</t>
  </si>
  <si>
    <t>Administració General</t>
  </si>
  <si>
    <t>Administració General de Comerç i Turisme</t>
  </si>
  <si>
    <t>Administració General de Serveis Socials</t>
  </si>
  <si>
    <t>Administració General de Cultura</t>
  </si>
  <si>
    <t>Administració General de la Seguretat i Mobilitat</t>
  </si>
  <si>
    <t>A Novembre</t>
  </si>
  <si>
    <t>Novembre 2015</t>
  </si>
  <si>
    <t>Novembre 2014</t>
  </si>
  <si>
    <t>Anàlisi modificacions de crèdit per capítols Novembre 2015</t>
  </si>
  <si>
    <t xml:space="preserve">Novembre 2014 </t>
  </si>
  <si>
    <t>465-467-469-47-48-46405/06/07/08</t>
  </si>
  <si>
    <t>Actuacions de caràcter general</t>
  </si>
  <si>
    <t>Execució de despeses. Gerència de Recursos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</si>
  <si>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</si>
  <si>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</si>
  <si>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</si>
  <si>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Adjunta de Mediambient i Serveis Urbans</t>
  </si>
  <si>
    <t>Execució de despeses. Gerència Adjunta d'Urbanisme</t>
  </si>
  <si>
    <t>Execució de despeses. Gerència Adjunta de Mobilitat i Infraestructures</t>
  </si>
  <si>
    <t>Execució de despeses. Gerència de Presidència i Economia</t>
  </si>
  <si>
    <t>Execució de despeses. Gerència d'Empresa, Ocupació i Turisme</t>
  </si>
  <si>
    <t>Execució de despeses. Gerència de Drets de Ciutadania, Participació i Transparència</t>
  </si>
  <si>
    <t>Gerència de Recursos</t>
  </si>
  <si>
    <t>Gerència de Drets Socials</t>
  </si>
  <si>
    <t>Gerència de Seguretat i Prevenció</t>
  </si>
  <si>
    <t>Gerència d'Ecologia Urbana</t>
  </si>
  <si>
    <t>Gerència Adj. Mediambient i S.U.</t>
  </si>
  <si>
    <t>Gerència Adj.d'Urbanisme</t>
  </si>
  <si>
    <t>Gerència Adj.de Mob. I Infraestr.</t>
  </si>
  <si>
    <t>0701</t>
  </si>
  <si>
    <t>0702</t>
  </si>
  <si>
    <t>Gerència de Presidència i Economia</t>
  </si>
  <si>
    <t>Gerència d'Empresa, Ocupació i Tur.</t>
  </si>
  <si>
    <t>Gerència DC, Part. I Transparència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</si>
</sst>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0"/>
    <numFmt numFmtId="165" formatCode="0.0%"/>
    <numFmt numFmtId="166" formatCode="_-* #,##0.0\ _€_-;\-* #,##0.0\ _€_-;_-* &quot;-&quot;??\ _€_-;_-@_-"/>
    <numFmt numFmtId="167" formatCode="_-* #,##0\ _€_-;\-* #,##0\ _€_-;_-* &quot;-&quot;??\ _€_-;_-@_-"/>
  </numFmts>
  <fonts count="7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3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indexed="64"/>
      </top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/>
      <diagonal/>
    </border>
    <border>
      <left/>
      <right style="medium">
        <color theme="3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theme="3"/>
      </right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/>
      <right/>
      <top/>
      <bottom style="thin">
        <color theme="3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/>
      <right style="thin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 style="medium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theme="3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medium">
        <color theme="0"/>
      </bottom>
      <diagonal/>
    </border>
    <border>
      <left style="medium">
        <color auto="1"/>
      </left>
      <right/>
      <top style="medium">
        <color theme="0"/>
      </top>
      <bottom style="thin">
        <color auto="1"/>
      </bottom>
      <diagonal/>
    </border>
    <border>
      <left/>
      <right style="medium">
        <color theme="3"/>
      </right>
      <top style="medium">
        <color theme="0"/>
      </top>
      <bottom style="thin">
        <color auto="1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/>
      <right style="medium">
        <color theme="3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 style="medium">
        <color auto="1"/>
      </top>
      <bottom/>
      <diagonal/>
    </border>
    <border>
      <left style="medium">
        <color theme="3"/>
      </left>
      <right style="medium">
        <color auto="1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0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medium">
        <color theme="0"/>
      </bottom>
      <diagonal/>
    </border>
  </borders>
  <cellStyleXfs count="318">
    <xf numFmtId="0" fontId="0" fillId="0" borderId="0"/>
    <xf numFmtId="0" fontId="9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30" fillId="0" borderId="0"/>
    <xf numFmtId="0" fontId="24" fillId="0" borderId="0"/>
    <xf numFmtId="0" fontId="33" fillId="0" borderId="0" applyNumberFormat="0" applyFill="0" applyBorder="0" applyAlignment="0" applyProtection="0"/>
    <xf numFmtId="0" fontId="8" fillId="0" borderId="0"/>
    <xf numFmtId="0" fontId="49" fillId="0" borderId="123" applyNumberFormat="0" applyFill="0" applyAlignment="0" applyProtection="0"/>
    <xf numFmtId="0" fontId="50" fillId="0" borderId="124" applyNumberFormat="0" applyFill="0" applyAlignment="0" applyProtection="0"/>
    <xf numFmtId="0" fontId="9" fillId="0" borderId="125" applyNumberFormat="0" applyFill="0" applyAlignment="0" applyProtection="0"/>
    <xf numFmtId="0" fontId="51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6" borderId="0" applyNumberFormat="0" applyBorder="0" applyAlignment="0" applyProtection="0"/>
    <xf numFmtId="0" fontId="54" fillId="7" borderId="126" applyNumberFormat="0" applyAlignment="0" applyProtection="0"/>
    <xf numFmtId="0" fontId="55" fillId="8" borderId="127" applyNumberFormat="0" applyAlignment="0" applyProtection="0"/>
    <xf numFmtId="0" fontId="56" fillId="8" borderId="126" applyNumberFormat="0" applyAlignment="0" applyProtection="0"/>
    <xf numFmtId="0" fontId="57" fillId="0" borderId="128" applyNumberFormat="0" applyFill="0" applyAlignment="0" applyProtection="0"/>
    <xf numFmtId="0" fontId="10" fillId="9" borderId="12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9" fillId="0" borderId="131" applyNumberFormat="0" applyFill="0" applyAlignment="0" applyProtection="0"/>
    <xf numFmtId="0" fontId="1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1" fillId="34" borderId="0" applyNumberFormat="0" applyBorder="0" applyAlignment="0" applyProtection="0"/>
    <xf numFmtId="0" fontId="24" fillId="0" borderId="0"/>
    <xf numFmtId="0" fontId="18" fillId="10" borderId="130" applyNumberFormat="0" applyFont="0" applyAlignment="0" applyProtection="0"/>
    <xf numFmtId="0" fontId="24" fillId="0" borderId="0"/>
    <xf numFmtId="0" fontId="18" fillId="10" borderId="130" applyNumberFormat="0" applyFont="0" applyAlignment="0" applyProtection="0"/>
    <xf numFmtId="0" fontId="18" fillId="10" borderId="130" applyNumberFormat="0" applyFont="0" applyAlignment="0" applyProtection="0"/>
    <xf numFmtId="0" fontId="18" fillId="10" borderId="130" applyNumberFormat="0" applyFont="0" applyAlignment="0" applyProtection="0"/>
    <xf numFmtId="0" fontId="24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130" applyNumberFormat="0" applyFont="0" applyAlignment="0" applyProtection="0"/>
    <xf numFmtId="0" fontId="18" fillId="17" borderId="0" applyNumberFormat="0" applyBorder="0" applyAlignment="0" applyProtection="0"/>
    <xf numFmtId="0" fontId="18" fillId="10" borderId="130" applyNumberFormat="0" applyFont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2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3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10" borderId="130" applyNumberFormat="0" applyFont="0" applyAlignment="0" applyProtection="0"/>
    <xf numFmtId="0" fontId="24" fillId="0" borderId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20" borderId="0" applyNumberFormat="0" applyBorder="0" applyAlignment="0" applyProtection="0"/>
    <xf numFmtId="0" fontId="18" fillId="10" borderId="130" applyNumberFormat="0" applyFont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1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8" fillId="10" borderId="130" applyNumberFormat="0" applyFont="0" applyAlignment="0" applyProtection="0"/>
    <xf numFmtId="0" fontId="34" fillId="0" borderId="123" applyNumberFormat="0" applyFill="0" applyAlignment="0" applyProtection="0"/>
    <xf numFmtId="0" fontId="35" fillId="0" borderId="124" applyNumberFormat="0" applyFill="0" applyAlignment="0" applyProtection="0"/>
    <xf numFmtId="0" fontId="36" fillId="0" borderId="12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26" applyNumberFormat="0" applyAlignment="0" applyProtection="0"/>
    <xf numFmtId="0" fontId="41" fillId="8" borderId="127" applyNumberFormat="0" applyAlignment="0" applyProtection="0"/>
    <xf numFmtId="0" fontId="42" fillId="8" borderId="126" applyNumberFormat="0" applyAlignment="0" applyProtection="0"/>
    <xf numFmtId="0" fontId="43" fillId="0" borderId="128" applyNumberFormat="0" applyFill="0" applyAlignment="0" applyProtection="0"/>
    <xf numFmtId="0" fontId="44" fillId="9" borderId="1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1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7" fillId="0" borderId="0"/>
    <xf numFmtId="0" fontId="24" fillId="0" borderId="0"/>
    <xf numFmtId="0" fontId="7" fillId="10" borderId="130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0" fillId="0" borderId="0"/>
    <xf numFmtId="0" fontId="34" fillId="0" borderId="123" applyNumberFormat="0" applyFill="0" applyAlignment="0" applyProtection="0"/>
    <xf numFmtId="0" fontId="35" fillId="0" borderId="124" applyNumberFormat="0" applyFill="0" applyAlignment="0" applyProtection="0"/>
    <xf numFmtId="0" fontId="36" fillId="0" borderId="125" applyNumberFormat="0" applyFill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26" applyNumberFormat="0" applyAlignment="0" applyProtection="0"/>
    <xf numFmtId="0" fontId="41" fillId="8" borderId="127" applyNumberFormat="0" applyAlignment="0" applyProtection="0"/>
    <xf numFmtId="0" fontId="42" fillId="8" borderId="126" applyNumberFormat="0" applyAlignment="0" applyProtection="0"/>
    <xf numFmtId="0" fontId="43" fillId="0" borderId="128" applyNumberFormat="0" applyFill="0" applyAlignment="0" applyProtection="0"/>
    <xf numFmtId="0" fontId="44" fillId="9" borderId="12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1" applyNumberFormat="0" applyFill="0" applyAlignment="0" applyProtection="0"/>
    <xf numFmtId="0" fontId="48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8" fillId="34" borderId="0" applyNumberFormat="0" applyBorder="0" applyAlignment="0" applyProtection="0"/>
    <xf numFmtId="0" fontId="6" fillId="0" borderId="0"/>
    <xf numFmtId="0" fontId="6" fillId="10" borderId="130" applyNumberFormat="0" applyFont="0" applyAlignment="0" applyProtection="0"/>
    <xf numFmtId="0" fontId="63" fillId="0" borderId="0"/>
    <xf numFmtId="0" fontId="24" fillId="0" borderId="0"/>
    <xf numFmtId="43" fontId="18" fillId="0" borderId="0" applyFont="0" applyFill="0" applyBorder="0" applyAlignment="0" applyProtection="0"/>
    <xf numFmtId="0" fontId="65" fillId="0" borderId="0"/>
    <xf numFmtId="0" fontId="5" fillId="10" borderId="13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67" fillId="0" borderId="0"/>
    <xf numFmtId="0" fontId="4" fillId="10" borderId="130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3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70" fillId="0" borderId="0"/>
    <xf numFmtId="9" fontId="2" fillId="0" borderId="0" applyFont="0" applyFill="0" applyBorder="0" applyAlignment="0" applyProtection="0"/>
    <xf numFmtId="0" fontId="2" fillId="10" borderId="13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71" fillId="0" borderId="0"/>
    <xf numFmtId="0" fontId="1" fillId="10" borderId="13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13">
    <xf numFmtId="0" fontId="0" fillId="0" borderId="0" xfId="0"/>
    <xf numFmtId="0" fontId="11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1"/>
    <xf numFmtId="0" fontId="12" fillId="0" borderId="0" xfId="1" applyFont="1"/>
    <xf numFmtId="0" fontId="11" fillId="2" borderId="0" xfId="0" applyFont="1" applyFill="1" applyAlignment="1">
      <alignment vertical="center"/>
    </xf>
    <xf numFmtId="164" fontId="10" fillId="2" borderId="0" xfId="0" applyNumberFormat="1" applyFont="1" applyFill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4" fillId="0" borderId="5" xfId="0" quotePrefix="1" applyFont="1" applyBorder="1" applyAlignment="1">
      <alignment horizontal="center" vertical="center"/>
    </xf>
    <xf numFmtId="164" fontId="14" fillId="0" borderId="0" xfId="0" quotePrefix="1" applyNumberFormat="1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3" fontId="14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0" fontId="14" fillId="0" borderId="8" xfId="0" quotePrefix="1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center" vertical="center"/>
    </xf>
    <xf numFmtId="0" fontId="14" fillId="0" borderId="10" xfId="0" quotePrefix="1" applyFont="1" applyBorder="1" applyAlignment="1">
      <alignment horizontal="center" vertical="center"/>
    </xf>
    <xf numFmtId="164" fontId="14" fillId="0" borderId="6" xfId="0" quotePrefix="1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64" fontId="14" fillId="0" borderId="8" xfId="0" quotePrefix="1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164" fontId="14" fillId="0" borderId="10" xfId="0" quotePrefix="1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64" fontId="14" fillId="0" borderId="8" xfId="0" applyNumberFormat="1" applyFont="1" applyBorder="1" applyAlignment="1">
      <alignment vertical="center"/>
    </xf>
    <xf numFmtId="164" fontId="14" fillId="0" borderId="10" xfId="0" applyNumberFormat="1" applyFont="1" applyBorder="1" applyAlignment="1">
      <alignment vertical="center"/>
    </xf>
    <xf numFmtId="164" fontId="14" fillId="0" borderId="6" xfId="0" quotePrefix="1" applyNumberFormat="1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164" fontId="14" fillId="0" borderId="8" xfId="0" quotePrefix="1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164" fontId="14" fillId="0" borderId="10" xfId="0" quotePrefix="1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65" fontId="16" fillId="2" borderId="5" xfId="2" applyNumberFormat="1" applyFont="1" applyFill="1" applyBorder="1" applyAlignment="1">
      <alignment horizontal="center" vertical="center" wrapText="1"/>
    </xf>
    <xf numFmtId="165" fontId="16" fillId="2" borderId="0" xfId="2" applyNumberFormat="1" applyFont="1" applyFill="1" applyAlignment="1">
      <alignment horizontal="center" vertical="center" wrapText="1"/>
    </xf>
    <xf numFmtId="165" fontId="16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0" fillId="2" borderId="0" xfId="0" applyNumberFormat="1" applyFont="1" applyFill="1" applyAlignment="1">
      <alignment horizontal="center" vertical="center" wrapText="1"/>
    </xf>
    <xf numFmtId="165" fontId="14" fillId="0" borderId="6" xfId="2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19" fillId="0" borderId="0" xfId="0" applyFont="1"/>
    <xf numFmtId="165" fontId="14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165" fontId="14" fillId="0" borderId="9" xfId="2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3" fontId="22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165" fontId="14" fillId="0" borderId="5" xfId="2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4" fillId="0" borderId="0" xfId="0" quotePrefix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3" fontId="14" fillId="0" borderId="13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165" fontId="14" fillId="0" borderId="14" xfId="2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3" fontId="14" fillId="0" borderId="17" xfId="0" applyNumberFormat="1" applyFont="1" applyBorder="1" applyAlignment="1">
      <alignment horizontal="right" vertical="center"/>
    </xf>
    <xf numFmtId="165" fontId="14" fillId="0" borderId="16" xfId="2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3" fontId="14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14" fillId="0" borderId="20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14" fillId="0" borderId="22" xfId="0" applyNumberFormat="1" applyFont="1" applyBorder="1" applyAlignment="1">
      <alignment horizontal="right" vertical="center"/>
    </xf>
    <xf numFmtId="165" fontId="14" fillId="0" borderId="19" xfId="2" applyNumberFormat="1" applyFont="1" applyBorder="1" applyAlignment="1">
      <alignment horizontal="center" vertical="center"/>
    </xf>
    <xf numFmtId="165" fontId="14" fillId="0" borderId="21" xfId="2" applyNumberFormat="1" applyFont="1" applyBorder="1" applyAlignment="1">
      <alignment horizontal="center" vertical="center"/>
    </xf>
    <xf numFmtId="165" fontId="14" fillId="0" borderId="23" xfId="2" applyNumberFormat="1" applyFont="1" applyBorder="1" applyAlignment="1">
      <alignment horizontal="center" vertical="center"/>
    </xf>
    <xf numFmtId="0" fontId="23" fillId="0" borderId="20" xfId="3" applyBorder="1" applyAlignment="1" applyProtection="1">
      <alignment vertical="center"/>
    </xf>
    <xf numFmtId="0" fontId="24" fillId="3" borderId="15" xfId="0" applyFont="1" applyFill="1" applyBorder="1" applyAlignment="1">
      <alignment vertical="center"/>
    </xf>
    <xf numFmtId="0" fontId="25" fillId="3" borderId="15" xfId="0" applyFont="1" applyFill="1" applyBorder="1" applyAlignment="1">
      <alignment vertical="center"/>
    </xf>
    <xf numFmtId="3" fontId="26" fillId="3" borderId="15" xfId="0" applyNumberFormat="1" applyFont="1" applyFill="1" applyBorder="1" applyAlignment="1">
      <alignment horizontal="right" vertical="center" wrapText="1"/>
    </xf>
    <xf numFmtId="165" fontId="14" fillId="0" borderId="0" xfId="2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4" fillId="0" borderId="26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3" fontId="14" fillId="0" borderId="27" xfId="0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3" fontId="16" fillId="2" borderId="0" xfId="0" applyNumberFormat="1" applyFont="1" applyFill="1" applyBorder="1" applyAlignment="1">
      <alignment horizontal="right" vertical="center" wrapText="1"/>
    </xf>
    <xf numFmtId="165" fontId="16" fillId="2" borderId="0" xfId="2" applyNumberFormat="1" applyFont="1" applyFill="1" applyBorder="1" applyAlignment="1">
      <alignment horizontal="righ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165" fontId="16" fillId="2" borderId="0" xfId="2" applyNumberFormat="1" applyFont="1" applyFill="1" applyBorder="1" applyAlignment="1">
      <alignment horizontal="center" vertical="center" wrapText="1"/>
    </xf>
    <xf numFmtId="0" fontId="24" fillId="0" borderId="0" xfId="0" applyFont="1" applyFill="1"/>
    <xf numFmtId="0" fontId="14" fillId="0" borderId="30" xfId="0" quotePrefix="1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 wrapText="1"/>
    </xf>
    <xf numFmtId="165" fontId="14" fillId="0" borderId="31" xfId="2" quotePrefix="1" applyNumberFormat="1" applyFont="1" applyBorder="1" applyAlignment="1">
      <alignment horizontal="center" vertical="center"/>
    </xf>
    <xf numFmtId="165" fontId="16" fillId="2" borderId="32" xfId="2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14" fillId="0" borderId="33" xfId="2" applyNumberFormat="1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3" fontId="16" fillId="2" borderId="34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14" fillId="0" borderId="5" xfId="0" quotePrefix="1" applyNumberFormat="1" applyFont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6" fillId="2" borderId="5" xfId="0" applyNumberFormat="1" applyFont="1" applyFill="1" applyBorder="1" applyAlignment="1">
      <alignment horizontal="center" vertical="center" wrapText="1"/>
    </xf>
    <xf numFmtId="165" fontId="14" fillId="0" borderId="28" xfId="2" applyNumberFormat="1" applyFont="1" applyBorder="1" applyAlignment="1">
      <alignment horizontal="center" vertical="center"/>
    </xf>
    <xf numFmtId="0" fontId="15" fillId="0" borderId="4" xfId="0" applyFont="1" applyBorder="1" applyAlignment="1"/>
    <xf numFmtId="0" fontId="14" fillId="0" borderId="5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3" fontId="13" fillId="0" borderId="4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7" fillId="2" borderId="0" xfId="0" applyNumberFormat="1" applyFont="1" applyFill="1" applyAlignment="1">
      <alignment horizontal="right" vertical="center" wrapText="1"/>
    </xf>
    <xf numFmtId="3" fontId="17" fillId="2" borderId="4" xfId="0" applyNumberFormat="1" applyFont="1" applyFill="1" applyBorder="1" applyAlignment="1">
      <alignment horizontal="right" vertical="center" wrapText="1"/>
    </xf>
    <xf numFmtId="3" fontId="17" fillId="2" borderId="0" xfId="0" applyNumberFormat="1" applyFont="1" applyFill="1" applyBorder="1" applyAlignment="1">
      <alignment horizontal="right" vertical="center" wrapText="1"/>
    </xf>
    <xf numFmtId="3" fontId="17" fillId="2" borderId="1" xfId="0" applyNumberFormat="1" applyFont="1" applyFill="1" applyBorder="1" applyAlignment="1">
      <alignment horizontal="right" vertical="center" wrapText="1"/>
    </xf>
    <xf numFmtId="3" fontId="17" fillId="2" borderId="36" xfId="0" applyNumberFormat="1" applyFont="1" applyFill="1" applyBorder="1" applyAlignment="1">
      <alignment horizontal="right" vertical="center" wrapText="1"/>
    </xf>
    <xf numFmtId="3" fontId="17" fillId="2" borderId="37" xfId="0" applyNumberFormat="1" applyFont="1" applyFill="1" applyBorder="1" applyAlignment="1">
      <alignment horizontal="right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165" fontId="13" fillId="0" borderId="0" xfId="2" applyNumberFormat="1" applyFont="1" applyAlignment="1">
      <alignment horizontal="center"/>
    </xf>
    <xf numFmtId="165" fontId="13" fillId="0" borderId="41" xfId="2" applyNumberFormat="1" applyFont="1" applyBorder="1" applyAlignment="1">
      <alignment horizontal="center"/>
    </xf>
    <xf numFmtId="165" fontId="13" fillId="0" borderId="42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13" fillId="0" borderId="0" xfId="2" applyNumberFormat="1" applyFont="1" applyAlignment="1">
      <alignment horizontal="center" vertical="center"/>
    </xf>
    <xf numFmtId="165" fontId="13" fillId="0" borderId="43" xfId="2" applyNumberFormat="1" applyFont="1" applyBorder="1" applyAlignment="1">
      <alignment horizontal="center" vertical="center"/>
    </xf>
    <xf numFmtId="165" fontId="13" fillId="0" borderId="44" xfId="2" applyNumberFormat="1" applyFont="1" applyBorder="1" applyAlignment="1">
      <alignment horizontal="center" vertical="center"/>
    </xf>
    <xf numFmtId="0" fontId="0" fillId="2" borderId="0" xfId="0" applyFill="1"/>
    <xf numFmtId="0" fontId="14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3" fontId="16" fillId="2" borderId="0" xfId="2" applyNumberFormat="1" applyFont="1" applyFill="1" applyBorder="1" applyAlignment="1">
      <alignment horizontal="center" vertical="center" wrapText="1"/>
    </xf>
    <xf numFmtId="3" fontId="20" fillId="0" borderId="6" xfId="0" applyNumberFormat="1" applyFont="1" applyFill="1" applyBorder="1" applyAlignment="1">
      <alignment horizontal="right" vertical="center"/>
    </xf>
    <xf numFmtId="0" fontId="24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3" fontId="26" fillId="3" borderId="0" xfId="0" applyNumberFormat="1" applyFont="1" applyFill="1" applyBorder="1" applyAlignment="1">
      <alignment horizontal="right" vertical="center" wrapText="1"/>
    </xf>
    <xf numFmtId="165" fontId="26" fillId="3" borderId="5" xfId="2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/>
    <xf numFmtId="165" fontId="14" fillId="0" borderId="20" xfId="2" applyNumberFormat="1" applyFont="1" applyBorder="1" applyAlignment="1">
      <alignment horizontal="center" vertical="center"/>
    </xf>
    <xf numFmtId="164" fontId="14" fillId="0" borderId="8" xfId="0" quotePrefix="1" applyNumberFormat="1" applyFont="1" applyBorder="1" applyAlignment="1">
      <alignment horizontal="right" vertical="center"/>
    </xf>
    <xf numFmtId="3" fontId="20" fillId="0" borderId="8" xfId="0" applyNumberFormat="1" applyFont="1" applyBorder="1" applyAlignment="1">
      <alignment horizontal="right" vertical="center"/>
    </xf>
    <xf numFmtId="3" fontId="14" fillId="0" borderId="8" xfId="0" applyNumberFormat="1" applyFont="1" applyBorder="1" applyAlignment="1">
      <alignment horizontal="right" vertical="center"/>
    </xf>
    <xf numFmtId="165" fontId="14" fillId="0" borderId="6" xfId="2" applyNumberFormat="1" applyFont="1" applyBorder="1" applyAlignment="1">
      <alignment vertical="center"/>
    </xf>
    <xf numFmtId="165" fontId="14" fillId="0" borderId="10" xfId="2" applyNumberFormat="1" applyFont="1" applyBorder="1" applyAlignment="1">
      <alignment vertical="center"/>
    </xf>
    <xf numFmtId="3" fontId="14" fillId="0" borderId="6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0" fillId="0" borderId="46" xfId="0" applyBorder="1"/>
    <xf numFmtId="0" fontId="14" fillId="0" borderId="47" xfId="0" quotePrefix="1" applyFont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 wrapText="1"/>
    </xf>
    <xf numFmtId="165" fontId="14" fillId="0" borderId="48" xfId="2" applyNumberFormat="1" applyFont="1" applyBorder="1" applyAlignment="1">
      <alignment horizontal="center" vertical="center"/>
    </xf>
    <xf numFmtId="165" fontId="14" fillId="0" borderId="49" xfId="2" applyNumberFormat="1" applyFont="1" applyBorder="1" applyAlignment="1">
      <alignment horizontal="center" vertical="center"/>
    </xf>
    <xf numFmtId="165" fontId="14" fillId="0" borderId="50" xfId="2" applyNumberFormat="1" applyFont="1" applyBorder="1" applyAlignment="1">
      <alignment horizontal="center" vertical="center"/>
    </xf>
    <xf numFmtId="165" fontId="16" fillId="2" borderId="47" xfId="2" applyNumberFormat="1" applyFont="1" applyFill="1" applyBorder="1" applyAlignment="1">
      <alignment horizontal="center" vertical="center" wrapText="1"/>
    </xf>
    <xf numFmtId="165" fontId="14" fillId="0" borderId="48" xfId="2" quotePrefix="1" applyNumberFormat="1" applyFont="1" applyBorder="1" applyAlignment="1">
      <alignment horizontal="center" vertical="center"/>
    </xf>
    <xf numFmtId="165" fontId="16" fillId="2" borderId="52" xfId="2" applyNumberFormat="1" applyFont="1" applyFill="1" applyBorder="1" applyAlignment="1">
      <alignment horizontal="center" vertical="center" wrapText="1"/>
    </xf>
    <xf numFmtId="3" fontId="16" fillId="2" borderId="54" xfId="0" applyNumberFormat="1" applyFont="1" applyFill="1" applyBorder="1" applyAlignment="1">
      <alignment horizontal="right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quotePrefix="1" applyFont="1" applyBorder="1" applyAlignment="1">
      <alignment horizontal="center" vertical="center"/>
    </xf>
    <xf numFmtId="3" fontId="14" fillId="0" borderId="56" xfId="0" applyNumberFormat="1" applyFont="1" applyBorder="1" applyAlignment="1">
      <alignment horizontal="right" vertical="center"/>
    </xf>
    <xf numFmtId="3" fontId="14" fillId="0" borderId="58" xfId="0" applyNumberFormat="1" applyFont="1" applyBorder="1" applyAlignment="1">
      <alignment horizontal="right" vertical="center"/>
    </xf>
    <xf numFmtId="3" fontId="16" fillId="2" borderId="41" xfId="0" applyNumberFormat="1" applyFont="1" applyFill="1" applyBorder="1" applyAlignment="1">
      <alignment horizontal="right" vertical="center" wrapText="1"/>
    </xf>
    <xf numFmtId="165" fontId="14" fillId="0" borderId="57" xfId="2" applyNumberFormat="1" applyFont="1" applyBorder="1" applyAlignment="1">
      <alignment horizontal="center" vertical="center"/>
    </xf>
    <xf numFmtId="3" fontId="16" fillId="2" borderId="62" xfId="0" applyNumberFormat="1" applyFont="1" applyFill="1" applyBorder="1" applyAlignment="1">
      <alignment horizontal="right" vertical="center" wrapText="1"/>
    </xf>
    <xf numFmtId="3" fontId="16" fillId="2" borderId="63" xfId="0" applyNumberFormat="1" applyFont="1" applyFill="1" applyBorder="1" applyAlignment="1">
      <alignment horizontal="right" vertical="center" wrapText="1"/>
    </xf>
    <xf numFmtId="165" fontId="16" fillId="2" borderId="63" xfId="2" applyNumberFormat="1" applyFont="1" applyFill="1" applyBorder="1" applyAlignment="1">
      <alignment horizontal="right" vertical="center" wrapText="1"/>
    </xf>
    <xf numFmtId="0" fontId="14" fillId="0" borderId="66" xfId="0" applyFont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 wrapText="1"/>
    </xf>
    <xf numFmtId="3" fontId="14" fillId="0" borderId="67" xfId="0" applyNumberFormat="1" applyFont="1" applyBorder="1" applyAlignment="1">
      <alignment horizontal="right" vertical="center"/>
    </xf>
    <xf numFmtId="3" fontId="14" fillId="0" borderId="68" xfId="0" applyNumberFormat="1" applyFont="1" applyBorder="1" applyAlignment="1">
      <alignment horizontal="right" vertical="center"/>
    </xf>
    <xf numFmtId="3" fontId="14" fillId="0" borderId="69" xfId="0" applyNumberFormat="1" applyFont="1" applyBorder="1" applyAlignment="1">
      <alignment horizontal="right" vertical="center"/>
    </xf>
    <xf numFmtId="3" fontId="16" fillId="2" borderId="66" xfId="0" applyNumberFormat="1" applyFont="1" applyFill="1" applyBorder="1" applyAlignment="1">
      <alignment horizontal="right" vertical="center" wrapText="1"/>
    </xf>
    <xf numFmtId="3" fontId="16" fillId="2" borderId="70" xfId="0" applyNumberFormat="1" applyFont="1" applyFill="1" applyBorder="1" applyAlignment="1">
      <alignment horizontal="right" vertical="center" wrapText="1"/>
    </xf>
    <xf numFmtId="0" fontId="21" fillId="0" borderId="65" xfId="0" applyFont="1" applyBorder="1" applyAlignment="1">
      <alignment horizontal="center"/>
    </xf>
    <xf numFmtId="165" fontId="14" fillId="0" borderId="71" xfId="2" applyNumberFormat="1" applyFont="1" applyBorder="1" applyAlignment="1">
      <alignment horizontal="center" vertical="center"/>
    </xf>
    <xf numFmtId="165" fontId="14" fillId="0" borderId="47" xfId="2" applyNumberFormat="1" applyFont="1" applyBorder="1" applyAlignment="1">
      <alignment horizontal="center" vertical="center"/>
    </xf>
    <xf numFmtId="3" fontId="16" fillId="2" borderId="76" xfId="0" applyNumberFormat="1" applyFont="1" applyFill="1" applyBorder="1" applyAlignment="1">
      <alignment horizontal="right" vertical="center" wrapText="1"/>
    </xf>
    <xf numFmtId="3" fontId="14" fillId="0" borderId="77" xfId="0" applyNumberFormat="1" applyFont="1" applyBorder="1" applyAlignment="1">
      <alignment horizontal="right" vertical="center"/>
    </xf>
    <xf numFmtId="3" fontId="14" fillId="0" borderId="56" xfId="0" applyNumberFormat="1" applyFont="1" applyFill="1" applyBorder="1" applyAlignment="1">
      <alignment horizontal="right" vertical="center"/>
    </xf>
    <xf numFmtId="3" fontId="16" fillId="2" borderId="43" xfId="0" applyNumberFormat="1" applyFont="1" applyFill="1" applyBorder="1" applyAlignment="1">
      <alignment horizontal="right" vertical="center" wrapText="1"/>
    </xf>
    <xf numFmtId="165" fontId="16" fillId="2" borderId="42" xfId="2" applyNumberFormat="1" applyFont="1" applyFill="1" applyBorder="1" applyAlignment="1">
      <alignment horizontal="center" vertical="center" wrapText="1"/>
    </xf>
    <xf numFmtId="165" fontId="16" fillId="2" borderId="42" xfId="2" quotePrefix="1" applyNumberFormat="1" applyFont="1" applyFill="1" applyBorder="1" applyAlignment="1">
      <alignment horizontal="center" vertical="center" wrapText="1"/>
    </xf>
    <xf numFmtId="165" fontId="14" fillId="0" borderId="42" xfId="2" applyNumberFormat="1" applyFont="1" applyBorder="1" applyAlignment="1">
      <alignment horizontal="center" vertical="center"/>
    </xf>
    <xf numFmtId="165" fontId="16" fillId="2" borderId="64" xfId="2" applyNumberFormat="1" applyFont="1" applyFill="1" applyBorder="1" applyAlignment="1">
      <alignment horizontal="center" vertical="center" wrapText="1"/>
    </xf>
    <xf numFmtId="3" fontId="16" fillId="2" borderId="83" xfId="0" applyNumberFormat="1" applyFont="1" applyFill="1" applyBorder="1" applyAlignment="1">
      <alignment horizontal="right" vertical="center" wrapText="1"/>
    </xf>
    <xf numFmtId="165" fontId="16" fillId="2" borderId="44" xfId="2" applyNumberFormat="1" applyFont="1" applyFill="1" applyBorder="1" applyAlignment="1">
      <alignment horizontal="center" vertical="center" wrapText="1"/>
    </xf>
    <xf numFmtId="3" fontId="14" fillId="0" borderId="66" xfId="0" applyNumberFormat="1" applyFont="1" applyBorder="1" applyAlignment="1">
      <alignment horizontal="right" vertical="center"/>
    </xf>
    <xf numFmtId="3" fontId="14" fillId="0" borderId="84" xfId="0" applyNumberFormat="1" applyFont="1" applyBorder="1" applyAlignment="1">
      <alignment horizontal="right" vertical="center"/>
    </xf>
    <xf numFmtId="165" fontId="14" fillId="0" borderId="59" xfId="2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65" fontId="16" fillId="2" borderId="63" xfId="2" applyNumberFormat="1" applyFont="1" applyFill="1" applyBorder="1" applyAlignment="1">
      <alignment horizontal="center" vertical="center" wrapText="1"/>
    </xf>
    <xf numFmtId="165" fontId="14" fillId="0" borderId="85" xfId="2" applyNumberFormat="1" applyFont="1" applyBorder="1" applyAlignment="1">
      <alignment horizontal="center" vertical="center"/>
    </xf>
    <xf numFmtId="165" fontId="14" fillId="0" borderId="86" xfId="2" applyNumberFormat="1" applyFont="1" applyBorder="1" applyAlignment="1">
      <alignment horizontal="center" vertical="center"/>
    </xf>
    <xf numFmtId="165" fontId="14" fillId="0" borderId="87" xfId="2" applyNumberFormat="1" applyFont="1" applyBorder="1" applyAlignment="1">
      <alignment horizontal="center" vertical="center"/>
    </xf>
    <xf numFmtId="165" fontId="14" fillId="0" borderId="88" xfId="2" applyNumberFormat="1" applyFont="1" applyBorder="1" applyAlignment="1">
      <alignment horizontal="center" vertical="center"/>
    </xf>
    <xf numFmtId="165" fontId="16" fillId="2" borderId="90" xfId="2" applyNumberFormat="1" applyFont="1" applyFill="1" applyBorder="1" applyAlignment="1">
      <alignment horizontal="center" vertical="center" wrapText="1"/>
    </xf>
    <xf numFmtId="165" fontId="16" fillId="2" borderId="91" xfId="2" applyNumberFormat="1" applyFont="1" applyFill="1" applyBorder="1" applyAlignment="1">
      <alignment horizontal="center" vertical="center" wrapText="1"/>
    </xf>
    <xf numFmtId="165" fontId="14" fillId="0" borderId="92" xfId="2" applyNumberFormat="1" applyFont="1" applyBorder="1" applyAlignment="1">
      <alignment horizontal="center" vertical="center"/>
    </xf>
    <xf numFmtId="165" fontId="26" fillId="3" borderId="72" xfId="2" applyNumberFormat="1" applyFont="1" applyFill="1" applyBorder="1" applyAlignment="1">
      <alignment horizontal="center" vertical="center" wrapText="1"/>
    </xf>
    <xf numFmtId="165" fontId="16" fillId="2" borderId="51" xfId="2" applyNumberFormat="1" applyFont="1" applyFill="1" applyBorder="1" applyAlignment="1">
      <alignment horizontal="center" vertical="center" wrapText="1"/>
    </xf>
    <xf numFmtId="3" fontId="14" fillId="0" borderId="93" xfId="0" applyNumberFormat="1" applyFont="1" applyBorder="1" applyAlignment="1">
      <alignment horizontal="right" vertical="center"/>
    </xf>
    <xf numFmtId="3" fontId="14" fillId="0" borderId="94" xfId="0" applyNumberFormat="1" applyFont="1" applyBorder="1" applyAlignment="1">
      <alignment horizontal="right" vertical="center"/>
    </xf>
    <xf numFmtId="3" fontId="14" fillId="0" borderId="95" xfId="0" applyNumberFormat="1" applyFont="1" applyBorder="1" applyAlignment="1">
      <alignment horizontal="right" vertical="center"/>
    </xf>
    <xf numFmtId="3" fontId="14" fillId="0" borderId="96" xfId="0" applyNumberFormat="1" applyFont="1" applyBorder="1" applyAlignment="1">
      <alignment horizontal="right" vertical="center"/>
    </xf>
    <xf numFmtId="3" fontId="16" fillId="2" borderId="97" xfId="0" applyNumberFormat="1" applyFont="1" applyFill="1" applyBorder="1" applyAlignment="1">
      <alignment horizontal="right" vertical="center" wrapText="1"/>
    </xf>
    <xf numFmtId="3" fontId="20" fillId="0" borderId="56" xfId="0" applyNumberFormat="1" applyFont="1" applyFill="1" applyBorder="1" applyAlignment="1">
      <alignment horizontal="right" vertical="center"/>
    </xf>
    <xf numFmtId="3" fontId="14" fillId="0" borderId="100" xfId="0" applyNumberFormat="1" applyFont="1" applyBorder="1" applyAlignment="1">
      <alignment horizontal="right" vertical="center"/>
    </xf>
    <xf numFmtId="3" fontId="14" fillId="0" borderId="102" xfId="0" applyNumberFormat="1" applyFont="1" applyBorder="1" applyAlignment="1">
      <alignment horizontal="right" vertical="center"/>
    </xf>
    <xf numFmtId="3" fontId="14" fillId="0" borderId="104" xfId="0" applyNumberFormat="1" applyFont="1" applyBorder="1" applyAlignment="1">
      <alignment horizontal="right" vertical="center"/>
    </xf>
    <xf numFmtId="3" fontId="14" fillId="0" borderId="106" xfId="0" applyNumberFormat="1" applyFont="1" applyBorder="1" applyAlignment="1">
      <alignment horizontal="right" vertical="center"/>
    </xf>
    <xf numFmtId="3" fontId="26" fillId="3" borderId="66" xfId="0" applyNumberFormat="1" applyFont="1" applyFill="1" applyBorder="1" applyAlignment="1">
      <alignment horizontal="right" vertical="center" wrapText="1"/>
    </xf>
    <xf numFmtId="3" fontId="26" fillId="3" borderId="75" xfId="0" applyNumberFormat="1" applyFont="1" applyFill="1" applyBorder="1" applyAlignment="1">
      <alignment horizontal="right" vertical="center" wrapText="1"/>
    </xf>
    <xf numFmtId="165" fontId="14" fillId="0" borderId="101" xfId="2" applyNumberFormat="1" applyFont="1" applyBorder="1" applyAlignment="1">
      <alignment horizontal="center" vertical="center"/>
    </xf>
    <xf numFmtId="165" fontId="14" fillId="0" borderId="107" xfId="2" applyNumberFormat="1" applyFont="1" applyBorder="1" applyAlignment="1">
      <alignment horizontal="center" vertical="center"/>
    </xf>
    <xf numFmtId="3" fontId="26" fillId="3" borderId="78" xfId="0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center"/>
    </xf>
    <xf numFmtId="3" fontId="14" fillId="0" borderId="67" xfId="0" applyNumberFormat="1" applyFont="1" applyBorder="1" applyAlignment="1">
      <alignment vertical="center"/>
    </xf>
    <xf numFmtId="3" fontId="14" fillId="0" borderId="68" xfId="0" applyNumberFormat="1" applyFont="1" applyBorder="1" applyAlignment="1">
      <alignment vertical="center"/>
    </xf>
    <xf numFmtId="3" fontId="14" fillId="0" borderId="69" xfId="0" applyNumberFormat="1" applyFont="1" applyBorder="1" applyAlignment="1">
      <alignment vertical="center"/>
    </xf>
    <xf numFmtId="3" fontId="16" fillId="2" borderId="66" xfId="0" applyNumberFormat="1" applyFont="1" applyFill="1" applyBorder="1" applyAlignment="1">
      <alignment horizontal="center" vertical="center" wrapText="1"/>
    </xf>
    <xf numFmtId="3" fontId="16" fillId="2" borderId="70" xfId="0" applyNumberFormat="1" applyFont="1" applyFill="1" applyBorder="1" applyAlignment="1">
      <alignment horizontal="center" vertical="center" wrapText="1"/>
    </xf>
    <xf numFmtId="3" fontId="16" fillId="2" borderId="0" xfId="0" applyNumberFormat="1" applyFont="1" applyFill="1" applyBorder="1" applyAlignment="1">
      <alignment horizontal="center" vertical="center" wrapText="1"/>
    </xf>
    <xf numFmtId="3" fontId="16" fillId="2" borderId="54" xfId="0" applyNumberFormat="1" applyFont="1" applyFill="1" applyBorder="1" applyAlignment="1">
      <alignment horizontal="center" vertical="center" wrapText="1"/>
    </xf>
    <xf numFmtId="3" fontId="14" fillId="0" borderId="56" xfId="0" applyNumberFormat="1" applyFont="1" applyBorder="1" applyAlignment="1">
      <alignment vertical="center"/>
    </xf>
    <xf numFmtId="3" fontId="14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 vertical="center"/>
    </xf>
    <xf numFmtId="3" fontId="16" fillId="2" borderId="41" xfId="0" applyNumberFormat="1" applyFont="1" applyFill="1" applyBorder="1" applyAlignment="1">
      <alignment horizontal="center" vertical="center" wrapText="1"/>
    </xf>
    <xf numFmtId="3" fontId="16" fillId="2" borderId="62" xfId="0" applyNumberFormat="1" applyFont="1" applyFill="1" applyBorder="1" applyAlignment="1">
      <alignment horizontal="center" vertical="center" wrapText="1"/>
    </xf>
    <xf numFmtId="3" fontId="16" fillId="2" borderId="63" xfId="0" applyNumberFormat="1" applyFont="1" applyFill="1" applyBorder="1" applyAlignment="1">
      <alignment horizontal="center" vertical="center" wrapText="1"/>
    </xf>
    <xf numFmtId="165" fontId="14" fillId="0" borderId="108" xfId="2" applyNumberFormat="1" applyFont="1" applyBorder="1" applyAlignment="1">
      <alignment horizontal="center" vertical="center"/>
    </xf>
    <xf numFmtId="165" fontId="14" fillId="0" borderId="109" xfId="2" applyNumberFormat="1" applyFont="1" applyBorder="1" applyAlignment="1">
      <alignment horizontal="center" vertical="center"/>
    </xf>
    <xf numFmtId="165" fontId="14" fillId="0" borderId="109" xfId="2" quotePrefix="1" applyNumberFormat="1" applyFont="1" applyBorder="1" applyAlignment="1">
      <alignment horizontal="center" vertical="center"/>
    </xf>
    <xf numFmtId="165" fontId="14" fillId="0" borderId="110" xfId="2" applyNumberFormat="1" applyFont="1" applyBorder="1" applyAlignment="1">
      <alignment horizontal="center" vertical="center"/>
    </xf>
    <xf numFmtId="165" fontId="16" fillId="2" borderId="73" xfId="2" applyNumberFormat="1" applyFont="1" applyFill="1" applyBorder="1" applyAlignment="1">
      <alignment horizontal="center" vertical="center" wrapText="1"/>
    </xf>
    <xf numFmtId="0" fontId="14" fillId="0" borderId="108" xfId="0" quotePrefix="1" applyFont="1" applyBorder="1" applyAlignment="1">
      <alignment horizontal="center" vertical="center"/>
    </xf>
    <xf numFmtId="0" fontId="14" fillId="0" borderId="110" xfId="0" quotePrefix="1" applyFont="1" applyBorder="1" applyAlignment="1">
      <alignment horizontal="center" vertical="center"/>
    </xf>
    <xf numFmtId="0" fontId="16" fillId="2" borderId="73" xfId="0" quotePrefix="1" applyFont="1" applyFill="1" applyBorder="1" applyAlignment="1">
      <alignment horizontal="center" vertical="center" wrapText="1"/>
    </xf>
    <xf numFmtId="165" fontId="16" fillId="2" borderId="111" xfId="2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 wrapText="1"/>
    </xf>
    <xf numFmtId="3" fontId="14" fillId="0" borderId="41" xfId="0" applyNumberFormat="1" applyFont="1" applyBorder="1" applyAlignment="1">
      <alignment horizontal="center" vertical="center"/>
    </xf>
    <xf numFmtId="3" fontId="10" fillId="2" borderId="41" xfId="0" applyNumberFormat="1" applyFont="1" applyFill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 wrapText="1"/>
    </xf>
    <xf numFmtId="165" fontId="14" fillId="0" borderId="108" xfId="2" quotePrefix="1" applyNumberFormat="1" applyFont="1" applyBorder="1" applyAlignment="1">
      <alignment horizontal="center" vertical="center"/>
    </xf>
    <xf numFmtId="165" fontId="16" fillId="2" borderId="73" xfId="2" quotePrefix="1" applyNumberFormat="1" applyFont="1" applyFill="1" applyBorder="1" applyAlignment="1">
      <alignment horizontal="center" vertical="center" wrapText="1"/>
    </xf>
    <xf numFmtId="0" fontId="14" fillId="0" borderId="57" xfId="0" quotePrefix="1" applyFont="1" applyBorder="1" applyAlignment="1">
      <alignment horizontal="center" vertical="center"/>
    </xf>
    <xf numFmtId="0" fontId="14" fillId="0" borderId="61" xfId="0" quotePrefix="1" applyFont="1" applyBorder="1" applyAlignment="1">
      <alignment horizontal="center" vertical="center"/>
    </xf>
    <xf numFmtId="0" fontId="16" fillId="2" borderId="0" xfId="0" quotePrefix="1" applyFont="1" applyFill="1" applyBorder="1" applyAlignment="1">
      <alignment horizontal="center" vertical="center" wrapText="1"/>
    </xf>
    <xf numFmtId="0" fontId="16" fillId="2" borderId="42" xfId="0" quotePrefix="1" applyFont="1" applyFill="1" applyBorder="1" applyAlignment="1">
      <alignment horizontal="center" vertical="center" wrapText="1"/>
    </xf>
    <xf numFmtId="0" fontId="16" fillId="2" borderId="112" xfId="0" quotePrefix="1" applyFont="1" applyFill="1" applyBorder="1" applyAlignment="1">
      <alignment horizontal="center" vertical="center" wrapText="1"/>
    </xf>
    <xf numFmtId="0" fontId="14" fillId="0" borderId="59" xfId="0" quotePrefix="1" applyFont="1" applyBorder="1" applyAlignment="1">
      <alignment horizontal="center" vertical="center"/>
    </xf>
    <xf numFmtId="165" fontId="16" fillId="2" borderId="112" xfId="2" applyNumberFormat="1" applyFont="1" applyFill="1" applyBorder="1" applyAlignment="1">
      <alignment horizontal="center" vertical="center" wrapText="1"/>
    </xf>
    <xf numFmtId="9" fontId="16" fillId="2" borderId="0" xfId="2" applyFont="1" applyFill="1" applyBorder="1" applyAlignment="1">
      <alignment horizontal="center" vertical="center" wrapText="1"/>
    </xf>
    <xf numFmtId="0" fontId="27" fillId="0" borderId="101" xfId="6" applyFont="1" applyBorder="1"/>
    <xf numFmtId="0" fontId="24" fillId="0" borderId="105" xfId="10" applyFont="1" applyBorder="1"/>
    <xf numFmtId="0" fontId="0" fillId="0" borderId="117" xfId="0" applyBorder="1" applyAlignment="1">
      <alignment vertical="center"/>
    </xf>
    <xf numFmtId="3" fontId="14" fillId="0" borderId="116" xfId="0" applyNumberFormat="1" applyFont="1" applyBorder="1" applyAlignment="1">
      <alignment horizontal="right" vertical="center"/>
    </xf>
    <xf numFmtId="3" fontId="14" fillId="0" borderId="117" xfId="0" applyNumberFormat="1" applyFont="1" applyBorder="1" applyAlignment="1">
      <alignment horizontal="right" vertical="center"/>
    </xf>
    <xf numFmtId="165" fontId="14" fillId="0" borderId="119" xfId="2" applyNumberFormat="1" applyFont="1" applyBorder="1" applyAlignment="1">
      <alignment horizontal="center" vertical="center"/>
    </xf>
    <xf numFmtId="165" fontId="14" fillId="0" borderId="87" xfId="2" quotePrefix="1" applyNumberFormat="1" applyFont="1" applyBorder="1" applyAlignment="1">
      <alignment horizontal="center" vertical="center"/>
    </xf>
    <xf numFmtId="0" fontId="24" fillId="0" borderId="18" xfId="4" applyBorder="1"/>
    <xf numFmtId="3" fontId="14" fillId="0" borderId="98" xfId="0" applyNumberFormat="1" applyFont="1" applyFill="1" applyBorder="1" applyAlignment="1">
      <alignment horizontal="right" vertical="center"/>
    </xf>
    <xf numFmtId="165" fontId="14" fillId="0" borderId="18" xfId="2" quotePrefix="1" applyNumberFormat="1" applyFont="1" applyBorder="1" applyAlignment="1">
      <alignment horizontal="center" vertical="center"/>
    </xf>
    <xf numFmtId="165" fontId="14" fillId="0" borderId="99" xfId="2" quotePrefix="1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14" fillId="0" borderId="100" xfId="0" applyNumberFormat="1" applyFont="1" applyFill="1" applyBorder="1" applyAlignment="1">
      <alignment horizontal="right" vertical="center"/>
    </xf>
    <xf numFmtId="165" fontId="20" fillId="0" borderId="27" xfId="2" applyNumberFormat="1" applyFont="1" applyFill="1" applyBorder="1" applyAlignment="1">
      <alignment horizontal="center" vertical="center" wrapText="1"/>
    </xf>
    <xf numFmtId="165" fontId="14" fillId="0" borderId="26" xfId="2" applyNumberFormat="1" applyFont="1" applyBorder="1" applyAlignment="1">
      <alignment horizontal="center" vertical="center"/>
    </xf>
    <xf numFmtId="165" fontId="14" fillId="0" borderId="50" xfId="2" quotePrefix="1" applyNumberFormat="1" applyFont="1" applyBorder="1" applyAlignment="1">
      <alignment horizontal="center" vertical="center"/>
    </xf>
    <xf numFmtId="165" fontId="26" fillId="3" borderId="89" xfId="2" applyNumberFormat="1" applyFont="1" applyFill="1" applyBorder="1" applyAlignment="1">
      <alignment horizontal="center" vertical="center" wrapText="1"/>
    </xf>
    <xf numFmtId="165" fontId="14" fillId="0" borderId="31" xfId="2" applyNumberFormat="1" applyFont="1" applyBorder="1" applyAlignment="1">
      <alignment horizontal="center" vertical="center"/>
    </xf>
    <xf numFmtId="165" fontId="14" fillId="0" borderId="73" xfId="2" applyNumberFormat="1" applyFont="1" applyBorder="1" applyAlignment="1">
      <alignment horizontal="center" vertical="center"/>
    </xf>
    <xf numFmtId="165" fontId="16" fillId="2" borderId="38" xfId="2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10" fillId="2" borderId="47" xfId="0" applyFont="1" applyFill="1" applyBorder="1" applyAlignment="1">
      <alignment horizontal="center" vertical="center" shrinkToFit="1"/>
    </xf>
    <xf numFmtId="3" fontId="14" fillId="0" borderId="120" xfId="2" applyNumberFormat="1" applyFont="1" applyBorder="1" applyAlignment="1">
      <alignment horizontal="right" vertical="center"/>
    </xf>
    <xf numFmtId="0" fontId="10" fillId="2" borderId="66" xfId="0" applyFont="1" applyFill="1" applyBorder="1" applyAlignment="1">
      <alignment horizontal="center" vertical="center" shrinkToFit="1"/>
    </xf>
    <xf numFmtId="0" fontId="10" fillId="2" borderId="41" xfId="0" applyFont="1" applyFill="1" applyBorder="1" applyAlignment="1">
      <alignment horizontal="center" vertical="center" shrinkToFit="1"/>
    </xf>
    <xf numFmtId="164" fontId="14" fillId="0" borderId="0" xfId="0" quotePrefix="1" applyNumberFormat="1" applyFont="1" applyBorder="1" applyAlignment="1">
      <alignment horizontal="center" vertical="center"/>
    </xf>
    <xf numFmtId="3" fontId="16" fillId="2" borderId="70" xfId="0" applyNumberFormat="1" applyFont="1" applyFill="1" applyBorder="1" applyAlignment="1">
      <alignment vertical="center" wrapText="1"/>
    </xf>
    <xf numFmtId="165" fontId="14" fillId="0" borderId="5" xfId="2" applyNumberFormat="1" applyFont="1" applyBorder="1" applyAlignment="1">
      <alignment horizontal="center" vertical="center" shrinkToFit="1"/>
    </xf>
    <xf numFmtId="164" fontId="14" fillId="0" borderId="8" xfId="0" quotePrefix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21" fillId="0" borderId="39" xfId="0" applyNumberFormat="1" applyFont="1" applyBorder="1" applyAlignment="1">
      <alignment horizontal="center"/>
    </xf>
    <xf numFmtId="165" fontId="14" fillId="0" borderId="41" xfId="0" applyNumberFormat="1" applyFont="1" applyBorder="1" applyAlignment="1">
      <alignment horizontal="center" vertical="center"/>
    </xf>
    <xf numFmtId="165" fontId="10" fillId="2" borderId="41" xfId="0" applyNumberFormat="1" applyFont="1" applyFill="1" applyBorder="1" applyAlignment="1">
      <alignment horizontal="center" vertical="center" wrapText="1"/>
    </xf>
    <xf numFmtId="165" fontId="16" fillId="2" borderId="41" xfId="0" applyNumberFormat="1" applyFont="1" applyFill="1" applyBorder="1" applyAlignment="1">
      <alignment horizontal="center" vertical="center" wrapText="1"/>
    </xf>
    <xf numFmtId="165" fontId="14" fillId="0" borderId="56" xfId="0" applyNumberFormat="1" applyFont="1" applyBorder="1" applyAlignment="1">
      <alignment horizontal="center" vertical="center"/>
    </xf>
    <xf numFmtId="165" fontId="14" fillId="0" borderId="60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4" fillId="0" borderId="10" xfId="0" applyNumberFormat="1" applyFont="1" applyBorder="1" applyAlignment="1">
      <alignment horizontal="center" vertical="center"/>
    </xf>
    <xf numFmtId="165" fontId="16" fillId="2" borderId="63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9" fillId="0" borderId="65" xfId="0" quotePrefix="1" applyFont="1" applyBorder="1" applyAlignment="1">
      <alignment horizontal="center"/>
    </xf>
    <xf numFmtId="0" fontId="14" fillId="0" borderId="122" xfId="0" quotePrefix="1" applyFont="1" applyBorder="1" applyAlignment="1">
      <alignment horizontal="center" vertical="center"/>
    </xf>
    <xf numFmtId="165" fontId="14" fillId="0" borderId="0" xfId="2" quotePrefix="1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horizontal="center" vertical="center" wrapText="1"/>
    </xf>
    <xf numFmtId="165" fontId="26" fillId="0" borderId="0" xfId="2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3" fontId="24" fillId="0" borderId="0" xfId="0" applyNumberFormat="1" applyFont="1" applyFill="1"/>
    <xf numFmtId="4" fontId="14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16" fillId="2" borderId="42" xfId="2" applyFont="1" applyFill="1" applyBorder="1" applyAlignment="1">
      <alignment horizontal="center" vertical="center" wrapText="1"/>
    </xf>
    <xf numFmtId="165" fontId="14" fillId="0" borderId="105" xfId="2" quotePrefix="1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vertical="center"/>
    </xf>
    <xf numFmtId="165" fontId="14" fillId="0" borderId="8" xfId="2" applyNumberFormat="1" applyFont="1" applyBorder="1" applyAlignment="1">
      <alignment horizontal="center" vertical="center"/>
    </xf>
    <xf numFmtId="0" fontId="24" fillId="0" borderId="6" xfId="0" applyFont="1" applyBorder="1" applyAlignment="1">
      <alignment vertical="center"/>
    </xf>
    <xf numFmtId="3" fontId="20" fillId="0" borderId="67" xfId="0" applyNumberFormat="1" applyFont="1" applyBorder="1" applyAlignment="1">
      <alignment horizontal="right" vertical="center"/>
    </xf>
    <xf numFmtId="3" fontId="20" fillId="0" borderId="56" xfId="0" applyNumberFormat="1" applyFont="1" applyBorder="1" applyAlignment="1">
      <alignment horizontal="right" vertical="center"/>
    </xf>
    <xf numFmtId="3" fontId="20" fillId="0" borderId="6" xfId="0" applyNumberFormat="1" applyFont="1" applyBorder="1" applyAlignment="1">
      <alignment horizontal="right" vertical="center"/>
    </xf>
    <xf numFmtId="165" fontId="20" fillId="0" borderId="48" xfId="2" applyNumberFormat="1" applyFont="1" applyBorder="1" applyAlignment="1">
      <alignment horizontal="center" vertical="center"/>
    </xf>
    <xf numFmtId="0" fontId="20" fillId="0" borderId="0" xfId="0" quotePrefix="1" applyFont="1" applyAlignment="1">
      <alignment horizontal="center"/>
    </xf>
    <xf numFmtId="0" fontId="24" fillId="0" borderId="0" xfId="0" applyFont="1"/>
    <xf numFmtId="0" fontId="24" fillId="0" borderId="8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4" fillId="0" borderId="10" xfId="0" applyFont="1" applyBorder="1" applyAlignment="1">
      <alignment vertical="center"/>
    </xf>
    <xf numFmtId="3" fontId="20" fillId="0" borderId="69" xfId="0" applyNumberFormat="1" applyFont="1" applyBorder="1" applyAlignment="1">
      <alignment horizontal="right" vertical="center"/>
    </xf>
    <xf numFmtId="3" fontId="20" fillId="0" borderId="60" xfId="0" applyNumberFormat="1" applyFont="1" applyBorder="1" applyAlignment="1">
      <alignment horizontal="right" vertical="center"/>
    </xf>
    <xf numFmtId="165" fontId="20" fillId="0" borderId="49" xfId="2" applyNumberFormat="1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165" fontId="20" fillId="0" borderId="50" xfId="2" applyNumberFormat="1" applyFont="1" applyBorder="1" applyAlignment="1">
      <alignment horizontal="center" vertical="center"/>
    </xf>
    <xf numFmtId="0" fontId="24" fillId="0" borderId="13" xfId="0" applyFont="1" applyBorder="1" applyAlignment="1">
      <alignment vertical="center"/>
    </xf>
    <xf numFmtId="3" fontId="20" fillId="0" borderId="13" xfId="0" applyNumberFormat="1" applyFont="1" applyBorder="1" applyAlignment="1">
      <alignment horizontal="right" vertical="center"/>
    </xf>
    <xf numFmtId="165" fontId="20" fillId="0" borderId="71" xfId="2" applyNumberFormat="1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3" fontId="20" fillId="0" borderId="75" xfId="0" applyNumberFormat="1" applyFont="1" applyBorder="1" applyAlignment="1">
      <alignment horizontal="right" vertical="center"/>
    </xf>
    <xf numFmtId="3" fontId="20" fillId="0" borderId="78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165" fontId="20" fillId="0" borderId="80" xfId="2" applyNumberFormat="1" applyFont="1" applyBorder="1" applyAlignment="1">
      <alignment horizontal="center" vertical="center"/>
    </xf>
    <xf numFmtId="165" fontId="20" fillId="0" borderId="72" xfId="2" quotePrefix="1" applyNumberFormat="1" applyFont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3" fontId="20" fillId="0" borderId="67" xfId="0" applyNumberFormat="1" applyFont="1" applyFill="1" applyBorder="1" applyAlignment="1">
      <alignment horizontal="right" vertical="center"/>
    </xf>
    <xf numFmtId="0" fontId="24" fillId="0" borderId="114" xfId="5" applyFont="1" applyFill="1" applyBorder="1"/>
    <xf numFmtId="165" fontId="20" fillId="0" borderId="6" xfId="2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0" fillId="0" borderId="117" xfId="0" applyNumberFormat="1" applyFont="1" applyFill="1" applyBorder="1" applyAlignment="1">
      <alignment horizontal="right" vertical="center"/>
    </xf>
    <xf numFmtId="165" fontId="20" fillId="0" borderId="114" xfId="2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165" fontId="20" fillId="0" borderId="47" xfId="2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165" fontId="20" fillId="0" borderId="57" xfId="2" applyNumberFormat="1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 shrinkToFit="1"/>
    </xf>
    <xf numFmtId="165" fontId="20" fillId="0" borderId="6" xfId="2" quotePrefix="1" applyNumberFormat="1" applyFont="1" applyFill="1" applyBorder="1" applyAlignment="1">
      <alignment horizontal="center" vertical="center"/>
    </xf>
    <xf numFmtId="0" fontId="20" fillId="0" borderId="0" xfId="0" quotePrefix="1" applyFont="1" applyFill="1" applyAlignment="1">
      <alignment horizontal="center"/>
    </xf>
    <xf numFmtId="0" fontId="24" fillId="0" borderId="17" xfId="0" applyFont="1" applyBorder="1" applyAlignment="1">
      <alignment vertical="center"/>
    </xf>
    <xf numFmtId="3" fontId="20" fillId="0" borderId="17" xfId="0" applyNumberFormat="1" applyFont="1" applyFill="1" applyBorder="1" applyAlignment="1">
      <alignment horizontal="right" vertical="center"/>
    </xf>
    <xf numFmtId="165" fontId="20" fillId="0" borderId="80" xfId="2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3" fontId="20" fillId="0" borderId="93" xfId="0" applyNumberFormat="1" applyFont="1" applyBorder="1" applyAlignment="1">
      <alignment horizontal="right" vertical="center"/>
    </xf>
    <xf numFmtId="3" fontId="20" fillId="0" borderId="98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165" fontId="20" fillId="0" borderId="99" xfId="2" applyNumberFormat="1" applyFont="1" applyBorder="1" applyAlignment="1">
      <alignment horizontal="center" vertical="center"/>
    </xf>
    <xf numFmtId="165" fontId="20" fillId="0" borderId="101" xfId="2" applyNumberFormat="1" applyFont="1" applyBorder="1" applyAlignment="1">
      <alignment horizontal="center" vertical="center"/>
    </xf>
    <xf numFmtId="3" fontId="20" fillId="0" borderId="84" xfId="0" applyNumberFormat="1" applyFont="1" applyBorder="1" applyAlignment="1">
      <alignment horizontal="right" vertical="center"/>
    </xf>
    <xf numFmtId="3" fontId="20" fillId="0" borderId="81" xfId="0" applyNumberFormat="1" applyFont="1" applyBorder="1" applyAlignment="1">
      <alignment horizontal="right" vertical="center"/>
    </xf>
    <xf numFmtId="3" fontId="20" fillId="0" borderId="17" xfId="0" applyNumberFormat="1" applyFont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165" fontId="20" fillId="0" borderId="8" xfId="2" applyNumberFormat="1" applyFont="1" applyBorder="1" applyAlignment="1">
      <alignment horizontal="center" vertical="center"/>
    </xf>
    <xf numFmtId="165" fontId="20" fillId="0" borderId="7" xfId="2" applyNumberFormat="1" applyFont="1" applyFill="1" applyBorder="1" applyAlignment="1">
      <alignment horizontal="center" vertical="center"/>
    </xf>
    <xf numFmtId="165" fontId="14" fillId="0" borderId="11" xfId="2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62" fillId="0" borderId="0" xfId="0" applyFont="1" applyAlignment="1">
      <alignment horizontal="center"/>
    </xf>
    <xf numFmtId="3" fontId="14" fillId="0" borderId="8" xfId="0" applyNumberFormat="1" applyFont="1" applyBorder="1" applyAlignment="1">
      <alignment horizontal="center" vertical="center"/>
    </xf>
    <xf numFmtId="165" fontId="16" fillId="2" borderId="133" xfId="2" applyNumberFormat="1" applyFont="1" applyFill="1" applyBorder="1" applyAlignment="1">
      <alignment horizontal="center" vertical="center" wrapText="1"/>
    </xf>
    <xf numFmtId="3" fontId="16" fillId="2" borderId="134" xfId="0" applyNumberFormat="1" applyFont="1" applyFill="1" applyBorder="1" applyAlignment="1">
      <alignment horizontal="right" vertical="center" wrapText="1"/>
    </xf>
    <xf numFmtId="165" fontId="16" fillId="2" borderId="135" xfId="2" applyNumberFormat="1" applyFont="1" applyFill="1" applyBorder="1" applyAlignment="1">
      <alignment horizontal="center" vertical="center" wrapText="1"/>
    </xf>
    <xf numFmtId="3" fontId="16" fillId="2" borderId="0" xfId="2" applyNumberFormat="1" applyFont="1" applyFill="1" applyBorder="1" applyAlignment="1">
      <alignment horizontal="right" vertical="center" wrapText="1"/>
    </xf>
    <xf numFmtId="3" fontId="16" fillId="2" borderId="132" xfId="0" applyNumberFormat="1" applyFont="1" applyFill="1" applyBorder="1" applyAlignment="1">
      <alignment horizontal="center" vertical="center" wrapText="1"/>
    </xf>
    <xf numFmtId="165" fontId="20" fillId="0" borderId="7" xfId="2" applyNumberFormat="1" applyFont="1" applyBorder="1" applyAlignment="1">
      <alignment horizontal="center" vertical="center"/>
    </xf>
    <xf numFmtId="165" fontId="20" fillId="0" borderId="19" xfId="2" applyNumberFormat="1" applyFont="1" applyBorder="1" applyAlignment="1">
      <alignment horizontal="center" vertical="center"/>
    </xf>
    <xf numFmtId="3" fontId="14" fillId="0" borderId="0" xfId="0" applyNumberFormat="1" applyFont="1" applyBorder="1"/>
    <xf numFmtId="3" fontId="14" fillId="0" borderId="0" xfId="0" applyNumberFormat="1" applyFont="1"/>
    <xf numFmtId="0" fontId="24" fillId="0" borderId="0" xfId="0" applyFont="1" applyBorder="1"/>
    <xf numFmtId="0" fontId="0" fillId="0" borderId="0" xfId="0" applyBorder="1"/>
    <xf numFmtId="3" fontId="20" fillId="0" borderId="136" xfId="0" applyNumberFormat="1" applyFont="1" applyBorder="1" applyAlignment="1">
      <alignment horizontal="right" vertical="center"/>
    </xf>
    <xf numFmtId="0" fontId="24" fillId="0" borderId="0" xfId="10" applyFont="1" applyBorder="1"/>
    <xf numFmtId="3" fontId="14" fillId="0" borderId="6" xfId="0" applyNumberFormat="1" applyFont="1" applyBorder="1" applyAlignment="1">
      <alignment horizontal="center" vertical="center"/>
    </xf>
    <xf numFmtId="165" fontId="14" fillId="0" borderId="118" xfId="2" applyNumberFormat="1" applyFont="1" applyBorder="1" applyAlignment="1">
      <alignment horizontal="center" vertical="center"/>
    </xf>
    <xf numFmtId="165" fontId="14" fillId="0" borderId="25" xfId="2" applyNumberFormat="1" applyFont="1" applyBorder="1" applyAlignment="1">
      <alignment horizontal="center" vertical="center"/>
    </xf>
    <xf numFmtId="43" fontId="0" fillId="0" borderId="0" xfId="247" applyFont="1"/>
    <xf numFmtId="0" fontId="24" fillId="0" borderId="141" xfId="0" applyFont="1" applyBorder="1" applyAlignment="1">
      <alignment vertical="center"/>
    </xf>
    <xf numFmtId="0" fontId="24" fillId="0" borderId="142" xfId="0" applyFont="1" applyBorder="1" applyAlignment="1">
      <alignment vertical="center"/>
    </xf>
    <xf numFmtId="0" fontId="26" fillId="0" borderId="0" xfId="0" applyFont="1" applyFill="1" applyAlignment="1">
      <alignment horizontal="center"/>
    </xf>
    <xf numFmtId="165" fontId="64" fillId="2" borderId="56" xfId="0" applyNumberFormat="1" applyFont="1" applyFill="1" applyBorder="1" applyAlignment="1">
      <alignment horizontal="center" vertical="center"/>
    </xf>
    <xf numFmtId="165" fontId="20" fillId="0" borderId="13" xfId="2" quotePrefix="1" applyNumberFormat="1" applyFont="1" applyBorder="1" applyAlignment="1">
      <alignment horizontal="center" vertical="center"/>
    </xf>
    <xf numFmtId="165" fontId="14" fillId="0" borderId="57" xfId="2" quotePrefix="1" applyNumberFormat="1" applyFont="1" applyBorder="1" applyAlignment="1">
      <alignment horizontal="center" vertical="center"/>
    </xf>
    <xf numFmtId="43" fontId="14" fillId="0" borderId="0" xfId="247" applyFont="1"/>
    <xf numFmtId="166" fontId="14" fillId="0" borderId="0" xfId="247" applyNumberFormat="1" applyFont="1"/>
    <xf numFmtId="167" fontId="14" fillId="0" borderId="0" xfId="247" applyNumberFormat="1" applyFont="1"/>
    <xf numFmtId="167" fontId="14" fillId="0" borderId="0" xfId="0" applyNumberFormat="1" applyFont="1"/>
    <xf numFmtId="165" fontId="14" fillId="0" borderId="12" xfId="2" applyNumberFormat="1" applyFont="1" applyBorder="1" applyAlignment="1">
      <alignment horizontal="center" vertical="center"/>
    </xf>
    <xf numFmtId="43" fontId="0" fillId="0" borderId="0" xfId="0" applyNumberFormat="1"/>
    <xf numFmtId="9" fontId="14" fillId="0" borderId="27" xfId="2" applyNumberFormat="1" applyFont="1" applyBorder="1" applyAlignment="1">
      <alignment horizontal="center" vertical="center"/>
    </xf>
    <xf numFmtId="165" fontId="0" fillId="0" borderId="49" xfId="2" applyNumberFormat="1" applyFont="1" applyBorder="1" applyAlignment="1">
      <alignment horizontal="center" vertical="center"/>
    </xf>
    <xf numFmtId="165" fontId="20" fillId="35" borderId="47" xfId="2" applyNumberFormat="1" applyFont="1" applyFill="1" applyBorder="1" applyAlignment="1">
      <alignment horizontal="center" vertical="center" wrapText="1"/>
    </xf>
    <xf numFmtId="167" fontId="16" fillId="2" borderId="63" xfId="247" applyNumberFormat="1" applyFont="1" applyFill="1" applyBorder="1" applyAlignment="1">
      <alignment horizontal="right" vertical="center" wrapText="1"/>
    </xf>
    <xf numFmtId="165" fontId="20" fillId="0" borderId="57" xfId="2" quotePrefix="1" applyNumberFormat="1" applyFont="1" applyBorder="1" applyAlignment="1">
      <alignment horizontal="center" vertical="center"/>
    </xf>
    <xf numFmtId="165" fontId="20" fillId="0" borderId="80" xfId="2" quotePrefix="1" applyNumberFormat="1" applyFont="1" applyBorder="1" applyAlignment="1">
      <alignment horizontal="center" vertical="center"/>
    </xf>
    <xf numFmtId="165" fontId="20" fillId="0" borderId="42" xfId="2" quotePrefix="1" applyNumberFormat="1" applyFont="1" applyBorder="1" applyAlignment="1">
      <alignment horizontal="center" vertical="center"/>
    </xf>
    <xf numFmtId="4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vertical="center"/>
    </xf>
    <xf numFmtId="165" fontId="14" fillId="0" borderId="58" xfId="0" applyNumberFormat="1" applyFont="1" applyBorder="1" applyAlignment="1">
      <alignment horizontal="center" vertical="center"/>
    </xf>
    <xf numFmtId="165" fontId="14" fillId="0" borderId="69" xfId="0" applyNumberFormat="1" applyFont="1" applyBorder="1" applyAlignment="1">
      <alignment horizontal="center" vertical="center"/>
    </xf>
    <xf numFmtId="165" fontId="20" fillId="0" borderId="15" xfId="2" quotePrefix="1" applyNumberFormat="1" applyFont="1" applyBorder="1" applyAlignment="1">
      <alignment horizontal="center" vertical="center"/>
    </xf>
    <xf numFmtId="165" fontId="14" fillId="0" borderId="27" xfId="2" quotePrefix="1" applyNumberFormat="1" applyFont="1" applyBorder="1" applyAlignment="1">
      <alignment horizontal="center" vertical="center"/>
    </xf>
    <xf numFmtId="165" fontId="26" fillId="0" borderId="89" xfId="2" applyNumberFormat="1" applyFont="1" applyFill="1" applyBorder="1" applyAlignment="1">
      <alignment horizontal="center" vertical="center" wrapText="1"/>
    </xf>
    <xf numFmtId="165" fontId="26" fillId="0" borderId="47" xfId="2" applyNumberFormat="1" applyFont="1" applyFill="1" applyBorder="1" applyAlignment="1">
      <alignment horizontal="center" vertical="center" wrapText="1"/>
    </xf>
    <xf numFmtId="0" fontId="15" fillId="0" borderId="144" xfId="0" applyFont="1" applyBorder="1" applyAlignment="1">
      <alignment horizontal="center"/>
    </xf>
    <xf numFmtId="0" fontId="14" fillId="0" borderId="145" xfId="0" quotePrefix="1" applyFont="1" applyBorder="1" applyAlignment="1">
      <alignment horizontal="center" vertical="center"/>
    </xf>
    <xf numFmtId="165" fontId="20" fillId="0" borderId="146" xfId="2" quotePrefix="1" applyNumberFormat="1" applyFont="1" applyBorder="1" applyAlignment="1">
      <alignment horizontal="center" vertical="center"/>
    </xf>
    <xf numFmtId="165" fontId="16" fillId="2" borderId="61" xfId="2" applyNumberFormat="1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/>
    </xf>
    <xf numFmtId="165" fontId="20" fillId="0" borderId="57" xfId="2" applyNumberFormat="1" applyFont="1" applyBorder="1" applyAlignment="1">
      <alignment horizontal="center" vertical="center"/>
    </xf>
    <xf numFmtId="165" fontId="20" fillId="0" borderId="61" xfId="2" quotePrefix="1" applyNumberFormat="1" applyFont="1" applyBorder="1" applyAlignment="1">
      <alignment horizontal="center" vertical="center"/>
    </xf>
    <xf numFmtId="165" fontId="20" fillId="0" borderId="79" xfId="2" applyNumberFormat="1" applyFont="1" applyBorder="1" applyAlignment="1">
      <alignment horizontal="center" vertical="center"/>
    </xf>
    <xf numFmtId="165" fontId="20" fillId="0" borderId="42" xfId="2" quotePrefix="1" applyNumberFormat="1" applyFont="1" applyFill="1" applyBorder="1" applyAlignment="1">
      <alignment horizontal="center" vertical="center"/>
    </xf>
    <xf numFmtId="3" fontId="20" fillId="0" borderId="41" xfId="0" applyNumberFormat="1" applyFont="1" applyBorder="1" applyAlignment="1">
      <alignment horizontal="right" vertical="center"/>
    </xf>
    <xf numFmtId="3" fontId="20" fillId="0" borderId="13" xfId="0" applyNumberFormat="1" applyFont="1" applyFill="1" applyBorder="1" applyAlignment="1">
      <alignment horizontal="right" vertical="center"/>
    </xf>
    <xf numFmtId="3" fontId="20" fillId="0" borderId="147" xfId="0" applyNumberFormat="1" applyFont="1" applyFill="1" applyBorder="1" applyAlignment="1">
      <alignment horizontal="right" vertical="center"/>
    </xf>
    <xf numFmtId="165" fontId="20" fillId="0" borderId="82" xfId="2" applyNumberFormat="1" applyFont="1" applyFill="1" applyBorder="1" applyAlignment="1">
      <alignment horizontal="center" vertical="center"/>
    </xf>
    <xf numFmtId="165" fontId="20" fillId="0" borderId="6" xfId="2" applyNumberFormat="1" applyFont="1" applyBorder="1" applyAlignment="1">
      <alignment horizontal="center" vertical="center"/>
    </xf>
    <xf numFmtId="165" fontId="20" fillId="0" borderId="10" xfId="2" applyNumberFormat="1" applyFont="1" applyBorder="1" applyAlignment="1">
      <alignment horizontal="center" vertical="center"/>
    </xf>
    <xf numFmtId="165" fontId="20" fillId="0" borderId="6" xfId="2" quotePrefix="1" applyNumberFormat="1" applyFont="1" applyBorder="1" applyAlignment="1">
      <alignment horizontal="center" vertical="center"/>
    </xf>
    <xf numFmtId="165" fontId="20" fillId="0" borderId="136" xfId="2" quotePrefix="1" applyNumberFormat="1" applyFont="1" applyBorder="1" applyAlignment="1">
      <alignment horizontal="center" vertical="center"/>
    </xf>
    <xf numFmtId="165" fontId="20" fillId="0" borderId="0" xfId="2" quotePrefix="1" applyNumberFormat="1" applyFont="1" applyFill="1" applyBorder="1" applyAlignment="1">
      <alignment horizontal="center" vertical="center"/>
    </xf>
    <xf numFmtId="165" fontId="16" fillId="2" borderId="83" xfId="2" applyNumberFormat="1" applyFont="1" applyFill="1" applyBorder="1" applyAlignment="1">
      <alignment horizontal="center" vertical="center" wrapText="1"/>
    </xf>
    <xf numFmtId="165" fontId="20" fillId="0" borderId="17" xfId="2" applyNumberFormat="1" applyFont="1" applyFill="1" applyBorder="1" applyAlignment="1">
      <alignment horizontal="center" vertical="center"/>
    </xf>
    <xf numFmtId="165" fontId="20" fillId="0" borderId="18" xfId="2" quotePrefix="1" applyNumberFormat="1" applyFont="1" applyBorder="1" applyAlignment="1">
      <alignment horizontal="center" vertical="center"/>
    </xf>
    <xf numFmtId="165" fontId="20" fillId="0" borderId="17" xfId="2" quotePrefix="1" applyNumberFormat="1" applyFont="1" applyBorder="1" applyAlignment="1">
      <alignment horizontal="center" vertical="center"/>
    </xf>
    <xf numFmtId="165" fontId="20" fillId="0" borderId="0" xfId="2" quotePrefix="1" applyNumberFormat="1" applyFont="1" applyBorder="1" applyAlignment="1">
      <alignment horizontal="center" vertical="center"/>
    </xf>
    <xf numFmtId="165" fontId="60" fillId="0" borderId="0" xfId="2" applyNumberFormat="1" applyFont="1" applyFill="1" applyBorder="1" applyAlignment="1">
      <alignment horizontal="center" vertical="center"/>
    </xf>
    <xf numFmtId="165" fontId="14" fillId="0" borderId="17" xfId="2" applyNumberFormat="1" applyFont="1" applyBorder="1" applyAlignment="1">
      <alignment horizontal="center" vertical="center"/>
    </xf>
    <xf numFmtId="165" fontId="20" fillId="0" borderId="137" xfId="2" applyNumberFormat="1" applyFont="1" applyBorder="1" applyAlignment="1">
      <alignment horizontal="center" vertical="center"/>
    </xf>
    <xf numFmtId="165" fontId="20" fillId="0" borderId="138" xfId="2" applyNumberFormat="1" applyFont="1" applyBorder="1" applyAlignment="1">
      <alignment horizontal="center" vertical="center"/>
    </xf>
    <xf numFmtId="165" fontId="20" fillId="0" borderId="139" xfId="2" applyNumberFormat="1" applyFont="1" applyBorder="1" applyAlignment="1">
      <alignment horizontal="center" vertical="center"/>
    </xf>
    <xf numFmtId="165" fontId="20" fillId="0" borderId="85" xfId="2" applyNumberFormat="1" applyFont="1" applyBorder="1" applyAlignment="1">
      <alignment horizontal="center" vertical="center"/>
    </xf>
    <xf numFmtId="9" fontId="20" fillId="0" borderId="86" xfId="2" applyNumberFormat="1" applyFont="1" applyBorder="1" applyAlignment="1">
      <alignment horizontal="center" vertical="center"/>
    </xf>
    <xf numFmtId="3" fontId="14" fillId="0" borderId="81" xfId="0" applyNumberFormat="1" applyFont="1" applyFill="1" applyBorder="1" applyAlignment="1">
      <alignment horizontal="right" vertical="center"/>
    </xf>
    <xf numFmtId="165" fontId="14" fillId="0" borderId="10" xfId="2" applyNumberFormat="1" applyFont="1" applyBorder="1" applyAlignment="1">
      <alignment horizontal="center" vertical="center"/>
    </xf>
    <xf numFmtId="43" fontId="14" fillId="0" borderId="0" xfId="247" applyFont="1" applyAlignment="1">
      <alignment horizontal="center"/>
    </xf>
    <xf numFmtId="165" fontId="14" fillId="0" borderId="61" xfId="2" applyNumberFormat="1" applyFont="1" applyBorder="1" applyAlignment="1">
      <alignment horizontal="center" vertical="center"/>
    </xf>
    <xf numFmtId="3" fontId="14" fillId="0" borderId="6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20" xfId="0" applyNumberFormat="1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165" fontId="14" fillId="0" borderId="9" xfId="2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3" fontId="20" fillId="0" borderId="66" xfId="0" applyNumberFormat="1" applyFont="1" applyBorder="1" applyAlignment="1">
      <alignment horizontal="right" vertical="center"/>
    </xf>
    <xf numFmtId="3" fontId="20" fillId="0" borderId="148" xfId="0" applyNumberFormat="1" applyFont="1" applyBorder="1" applyAlignment="1">
      <alignment horizontal="right" vertical="center"/>
    </xf>
    <xf numFmtId="3" fontId="14" fillId="0" borderId="149" xfId="0" applyNumberFormat="1" applyFont="1" applyBorder="1" applyAlignment="1">
      <alignment horizontal="right" vertical="center"/>
    </xf>
    <xf numFmtId="3" fontId="14" fillId="0" borderId="150" xfId="0" applyNumberFormat="1" applyFont="1" applyBorder="1" applyAlignment="1">
      <alignment horizontal="right" vertical="center"/>
    </xf>
    <xf numFmtId="3" fontId="14" fillId="0" borderId="74" xfId="0" applyNumberFormat="1" applyFont="1" applyBorder="1" applyAlignment="1">
      <alignment horizontal="right" vertical="center"/>
    </xf>
    <xf numFmtId="3" fontId="14" fillId="0" borderId="102" xfId="0" applyNumberFormat="1" applyFont="1" applyFill="1" applyBorder="1" applyAlignment="1">
      <alignment horizontal="right" vertical="center"/>
    </xf>
    <xf numFmtId="3" fontId="14" fillId="0" borderId="78" xfId="0" applyNumberFormat="1" applyFont="1" applyBorder="1" applyAlignment="1">
      <alignment horizontal="right" vertical="center"/>
    </xf>
    <xf numFmtId="3" fontId="14" fillId="0" borderId="115" xfId="0" applyNumberFormat="1" applyFont="1" applyBorder="1" applyAlignment="1">
      <alignment vertical="center"/>
    </xf>
    <xf numFmtId="3" fontId="14" fillId="0" borderId="117" xfId="0" applyNumberFormat="1" applyFont="1" applyBorder="1" applyAlignment="1">
      <alignment vertical="center"/>
    </xf>
    <xf numFmtId="3" fontId="20" fillId="0" borderId="10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vertical="center"/>
    </xf>
    <xf numFmtId="165" fontId="20" fillId="0" borderId="113" xfId="2" applyNumberFormat="1" applyFont="1" applyBorder="1" applyAlignment="1">
      <alignment horizontal="center" vertical="center"/>
    </xf>
    <xf numFmtId="165" fontId="20" fillId="0" borderId="12" xfId="2" applyNumberFormat="1" applyFont="1" applyBorder="1" applyAlignment="1">
      <alignment horizontal="center" vertical="center"/>
    </xf>
    <xf numFmtId="165" fontId="20" fillId="0" borderId="14" xfId="2" applyNumberFormat="1" applyFont="1" applyBorder="1" applyAlignment="1">
      <alignment horizontal="center" vertical="center"/>
    </xf>
    <xf numFmtId="165" fontId="20" fillId="0" borderId="5" xfId="2" applyNumberFormat="1" applyFont="1" applyBorder="1" applyAlignment="1">
      <alignment horizontal="center" vertical="center"/>
    </xf>
    <xf numFmtId="165" fontId="20" fillId="0" borderId="16" xfId="2" applyNumberFormat="1" applyFont="1" applyBorder="1" applyAlignment="1">
      <alignment horizontal="center" vertical="center"/>
    </xf>
    <xf numFmtId="165" fontId="14" fillId="0" borderId="82" xfId="2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65" fontId="16" fillId="2" borderId="62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16" fillId="2" borderId="54" xfId="2" applyNumberFormat="1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/>
    </xf>
    <xf numFmtId="165" fontId="14" fillId="0" borderId="117" xfId="2" applyNumberFormat="1" applyFont="1" applyBorder="1" applyAlignment="1">
      <alignment horizontal="center" vertical="center"/>
    </xf>
    <xf numFmtId="165" fontId="14" fillId="0" borderId="22" xfId="2" applyNumberFormat="1" applyFont="1" applyBorder="1" applyAlignment="1">
      <alignment horizontal="center" vertical="center"/>
    </xf>
    <xf numFmtId="165" fontId="14" fillId="0" borderId="27" xfId="2" applyNumberFormat="1" applyFont="1" applyBorder="1" applyAlignment="1">
      <alignment horizontal="center" vertical="center"/>
    </xf>
    <xf numFmtId="165" fontId="14" fillId="0" borderId="18" xfId="2" applyNumberFormat="1" applyFont="1" applyBorder="1" applyAlignment="1">
      <alignment horizontal="center" vertical="center"/>
    </xf>
    <xf numFmtId="165" fontId="14" fillId="0" borderId="13" xfId="2" applyNumberFormat="1" applyFont="1" applyBorder="1" applyAlignment="1">
      <alignment horizontal="center" vertical="center"/>
    </xf>
    <xf numFmtId="165" fontId="14" fillId="0" borderId="6" xfId="2" quotePrefix="1" applyNumberFormat="1" applyFont="1" applyBorder="1" applyAlignment="1">
      <alignment horizontal="center" vertical="center"/>
    </xf>
    <xf numFmtId="165" fontId="14" fillId="0" borderId="8" xfId="2" quotePrefix="1" applyNumberFormat="1" applyFont="1" applyBorder="1" applyAlignment="1">
      <alignment horizontal="center" vertical="center"/>
    </xf>
    <xf numFmtId="165" fontId="14" fillId="0" borderId="17" xfId="2" quotePrefix="1" applyNumberFormat="1" applyFont="1" applyBorder="1" applyAlignment="1">
      <alignment horizontal="center" vertical="center"/>
    </xf>
    <xf numFmtId="165" fontId="14" fillId="0" borderId="20" xfId="2" quotePrefix="1" applyNumberFormat="1" applyFont="1" applyBorder="1" applyAlignment="1">
      <alignment horizontal="center" vertical="center"/>
    </xf>
    <xf numFmtId="165" fontId="14" fillId="0" borderId="22" xfId="2" quotePrefix="1" applyNumberFormat="1" applyFont="1" applyBorder="1" applyAlignment="1">
      <alignment horizontal="center" vertical="center"/>
    </xf>
    <xf numFmtId="165" fontId="14" fillId="0" borderId="13" xfId="2" quotePrefix="1" applyNumberFormat="1" applyFont="1" applyBorder="1" applyAlignment="1">
      <alignment horizontal="center" vertical="center"/>
    </xf>
    <xf numFmtId="165" fontId="26" fillId="3" borderId="26" xfId="2" applyNumberFormat="1" applyFont="1" applyFill="1" applyBorder="1" applyAlignment="1">
      <alignment horizontal="center" vertical="center" wrapText="1"/>
    </xf>
    <xf numFmtId="165" fontId="14" fillId="0" borderId="15" xfId="2" quotePrefix="1" applyNumberFormat="1" applyFont="1" applyBorder="1" applyAlignment="1">
      <alignment horizontal="center" vertical="center"/>
    </xf>
    <xf numFmtId="165" fontId="26" fillId="3" borderId="15" xfId="2" applyNumberFormat="1" applyFont="1" applyFill="1" applyBorder="1" applyAlignment="1">
      <alignment horizontal="center" vertical="center" wrapText="1"/>
    </xf>
    <xf numFmtId="167" fontId="14" fillId="0" borderId="0" xfId="247" applyNumberFormat="1" applyFont="1" applyAlignment="1">
      <alignment horizontal="center"/>
    </xf>
    <xf numFmtId="165" fontId="26" fillId="3" borderId="0" xfId="2" applyNumberFormat="1" applyFont="1" applyFill="1" applyBorder="1" applyAlignment="1">
      <alignment horizontal="center" vertical="center" wrapText="1"/>
    </xf>
    <xf numFmtId="165" fontId="14" fillId="0" borderId="114" xfId="2" applyNumberFormat="1" applyFont="1" applyBorder="1" applyAlignment="1">
      <alignment horizontal="center" vertical="center"/>
    </xf>
    <xf numFmtId="165" fontId="14" fillId="0" borderId="79" xfId="2" applyNumberFormat="1" applyFont="1" applyBorder="1" applyAlignment="1">
      <alignment horizontal="center" vertical="center"/>
    </xf>
    <xf numFmtId="165" fontId="14" fillId="0" borderId="99" xfId="2" applyNumberFormat="1" applyFont="1" applyBorder="1" applyAlignment="1">
      <alignment horizontal="center" vertical="center"/>
    </xf>
    <xf numFmtId="165" fontId="14" fillId="0" borderId="103" xfId="2" applyNumberFormat="1" applyFont="1" applyBorder="1" applyAlignment="1">
      <alignment horizontal="center" vertical="center"/>
    </xf>
    <xf numFmtId="165" fontId="14" fillId="0" borderId="105" xfId="2" applyNumberFormat="1" applyFont="1" applyBorder="1" applyAlignment="1">
      <alignment horizontal="center" vertical="center"/>
    </xf>
    <xf numFmtId="165" fontId="14" fillId="0" borderId="59" xfId="2" quotePrefix="1" applyNumberFormat="1" applyFont="1" applyBorder="1" applyAlignment="1">
      <alignment horizontal="center" vertical="center"/>
    </xf>
    <xf numFmtId="165" fontId="14" fillId="0" borderId="82" xfId="2" quotePrefix="1" applyNumberFormat="1" applyFont="1" applyBorder="1" applyAlignment="1">
      <alignment horizontal="center" vertical="center"/>
    </xf>
    <xf numFmtId="165" fontId="14" fillId="0" borderId="101" xfId="2" quotePrefix="1" applyNumberFormat="1" applyFont="1" applyBorder="1" applyAlignment="1">
      <alignment horizontal="center" vertical="center"/>
    </xf>
    <xf numFmtId="165" fontId="14" fillId="0" borderId="103" xfId="2" quotePrefix="1" applyNumberFormat="1" applyFont="1" applyBorder="1" applyAlignment="1">
      <alignment horizontal="center" vertical="center"/>
    </xf>
    <xf numFmtId="165" fontId="26" fillId="3" borderId="42" xfId="2" applyNumberFormat="1" applyFont="1" applyFill="1" applyBorder="1" applyAlignment="1">
      <alignment horizontal="center" vertical="center" wrapText="1"/>
    </xf>
    <xf numFmtId="165" fontId="14" fillId="0" borderId="80" xfId="2" quotePrefix="1" applyNumberFormat="1" applyFont="1" applyBorder="1" applyAlignment="1">
      <alignment horizontal="center" vertical="center"/>
    </xf>
    <xf numFmtId="165" fontId="14" fillId="0" borderId="79" xfId="2" quotePrefix="1" applyNumberFormat="1" applyFont="1" applyBorder="1" applyAlignment="1">
      <alignment horizontal="center" vertical="center"/>
    </xf>
    <xf numFmtId="165" fontId="26" fillId="3" borderId="80" xfId="2" applyNumberFormat="1" applyFont="1" applyFill="1" applyBorder="1" applyAlignment="1">
      <alignment horizontal="center" vertical="center" wrapText="1"/>
    </xf>
    <xf numFmtId="165" fontId="14" fillId="0" borderId="24" xfId="2" applyNumberFormat="1" applyFont="1" applyBorder="1" applyAlignment="1">
      <alignment horizontal="center" vertical="center"/>
    </xf>
    <xf numFmtId="165" fontId="14" fillId="0" borderId="85" xfId="2" applyNumberFormat="1" applyFont="1" applyFill="1" applyBorder="1" applyAlignment="1">
      <alignment horizontal="center" vertical="center"/>
    </xf>
    <xf numFmtId="165" fontId="14" fillId="0" borderId="59" xfId="2" applyNumberFormat="1" applyFont="1" applyFill="1" applyBorder="1" applyAlignment="1">
      <alignment horizontal="center" vertical="center"/>
    </xf>
    <xf numFmtId="166" fontId="14" fillId="0" borderId="0" xfId="247" applyNumberFormat="1" applyFont="1" applyAlignment="1">
      <alignment horizontal="center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16" fillId="2" borderId="54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14" fillId="0" borderId="151" xfId="2" applyNumberFormat="1" applyFont="1" applyBorder="1" applyAlignment="1">
      <alignment horizontal="center" vertical="center"/>
    </xf>
    <xf numFmtId="0" fontId="0" fillId="0" borderId="27" xfId="0" applyBorder="1"/>
    <xf numFmtId="3" fontId="24" fillId="0" borderId="0" xfId="0" applyNumberFormat="1" applyFont="1" applyBorder="1"/>
    <xf numFmtId="165" fontId="20" fillId="0" borderId="82" xfId="2" quotePrefix="1" applyNumberFormat="1" applyFont="1" applyBorder="1" applyAlignment="1">
      <alignment horizontal="center" vertical="center"/>
    </xf>
    <xf numFmtId="3" fontId="14" fillId="0" borderId="8" xfId="0" applyNumberFormat="1" applyFont="1" applyBorder="1"/>
    <xf numFmtId="0" fontId="0" fillId="0" borderId="59" xfId="0" applyBorder="1" applyAlignment="1">
      <alignment vertical="center"/>
    </xf>
    <xf numFmtId="165" fontId="14" fillId="0" borderId="72" xfId="2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165" fontId="16" fillId="0" borderId="0" xfId="2" applyNumberFormat="1" applyFont="1" applyFill="1" applyBorder="1" applyAlignment="1">
      <alignment horizontal="center" vertical="center" wrapText="1"/>
    </xf>
    <xf numFmtId="165" fontId="64" fillId="0" borderId="0" xfId="2" applyNumberFormat="1" applyFont="1" applyBorder="1" applyAlignment="1">
      <alignment vertical="center"/>
    </xf>
    <xf numFmtId="165" fontId="64" fillId="0" borderId="0" xfId="2" applyNumberFormat="1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6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140" xfId="0" applyFont="1" applyFill="1" applyBorder="1" applyAlignment="1">
      <alignment vertical="center"/>
    </xf>
    <xf numFmtId="0" fontId="68" fillId="0" borderId="0" xfId="1" applyFont="1"/>
    <xf numFmtId="0" fontId="9" fillId="0" borderId="0" xfId="1" applyFont="1"/>
    <xf numFmtId="0" fontId="69" fillId="0" borderId="0" xfId="0" applyFont="1"/>
    <xf numFmtId="3" fontId="14" fillId="0" borderId="10" xfId="0" applyNumberFormat="1" applyFont="1" applyFill="1" applyBorder="1" applyAlignment="1">
      <alignment horizontal="right" vertical="center"/>
    </xf>
    <xf numFmtId="165" fontId="20" fillId="0" borderId="79" xfId="2" applyNumberFormat="1" applyFont="1" applyFill="1" applyBorder="1" applyAlignment="1">
      <alignment horizontal="center" vertical="center"/>
    </xf>
    <xf numFmtId="3" fontId="14" fillId="0" borderId="104" xfId="0" applyNumberFormat="1" applyFont="1" applyFill="1" applyBorder="1" applyAlignment="1">
      <alignment horizontal="right" vertical="center"/>
    </xf>
    <xf numFmtId="3" fontId="26" fillId="3" borderId="106" xfId="0" applyNumberFormat="1" applyFont="1" applyFill="1" applyBorder="1" applyAlignment="1">
      <alignment horizontal="right" vertical="center" wrapText="1"/>
    </xf>
    <xf numFmtId="0" fontId="16" fillId="2" borderId="153" xfId="0" applyFont="1" applyFill="1" applyBorder="1" applyAlignment="1">
      <alignment horizontal="center" vertical="center" wrapText="1"/>
    </xf>
    <xf numFmtId="3" fontId="14" fillId="0" borderId="148" xfId="0" applyNumberFormat="1" applyFont="1" applyBorder="1" applyAlignment="1">
      <alignment horizontal="center" vertical="center"/>
    </xf>
    <xf numFmtId="3" fontId="14" fillId="0" borderId="8" xfId="0" applyNumberFormat="1" applyFont="1" applyBorder="1" applyAlignment="1"/>
    <xf numFmtId="3" fontId="14" fillId="0" borderId="0" xfId="0" applyNumberFormat="1" applyFont="1" applyAlignment="1"/>
    <xf numFmtId="3" fontId="16" fillId="2" borderId="0" xfId="2" applyNumberFormat="1" applyFont="1" applyFill="1" applyBorder="1" applyAlignment="1">
      <alignment vertical="center" wrapText="1"/>
    </xf>
    <xf numFmtId="3" fontId="16" fillId="2" borderId="0" xfId="0" applyNumberFormat="1" applyFont="1" applyFill="1" applyAlignment="1">
      <alignment vertical="center" wrapText="1"/>
    </xf>
    <xf numFmtId="165" fontId="16" fillId="2" borderId="0" xfId="2" applyNumberFormat="1" applyFont="1" applyFill="1" applyAlignment="1">
      <alignment vertical="center" wrapText="1"/>
    </xf>
    <xf numFmtId="3" fontId="16" fillId="2" borderId="0" xfId="0" applyNumberFormat="1" applyFont="1" applyFill="1" applyBorder="1" applyAlignment="1">
      <alignment vertical="center" wrapText="1"/>
    </xf>
    <xf numFmtId="3" fontId="16" fillId="2" borderId="1" xfId="2" applyNumberFormat="1" applyFont="1" applyFill="1" applyBorder="1" applyAlignment="1">
      <alignment horizontal="right" vertical="center" wrapText="1"/>
    </xf>
    <xf numFmtId="3" fontId="14" fillId="0" borderId="27" xfId="0" applyNumberFormat="1" applyFont="1" applyBorder="1" applyAlignment="1">
      <alignment vertical="center"/>
    </xf>
    <xf numFmtId="3" fontId="14" fillId="0" borderId="20" xfId="0" applyNumberFormat="1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165" fontId="16" fillId="2" borderId="56" xfId="0" applyNumberFormat="1" applyFont="1" applyFill="1" applyBorder="1" applyAlignment="1">
      <alignment horizontal="center" vertical="center"/>
    </xf>
    <xf numFmtId="165" fontId="16" fillId="2" borderId="69" xfId="0" applyNumberFormat="1" applyFont="1" applyFill="1" applyBorder="1" applyAlignment="1">
      <alignment horizontal="center" vertical="center"/>
    </xf>
    <xf numFmtId="165" fontId="16" fillId="2" borderId="154" xfId="2" applyNumberFormat="1" applyFont="1" applyFill="1" applyBorder="1" applyAlignment="1">
      <alignment horizontal="center" vertical="center" wrapText="1"/>
    </xf>
    <xf numFmtId="3" fontId="20" fillId="0" borderId="74" xfId="0" applyNumberFormat="1" applyFont="1" applyBorder="1" applyAlignment="1">
      <alignment horizontal="right" vertical="center"/>
    </xf>
    <xf numFmtId="2" fontId="19" fillId="0" borderId="0" xfId="0" applyNumberFormat="1" applyFont="1"/>
    <xf numFmtId="2" fontId="71" fillId="0" borderId="0" xfId="304" applyNumberFormat="1" applyFont="1" applyAlignment="1">
      <alignment horizontal="right"/>
    </xf>
    <xf numFmtId="2" fontId="71" fillId="0" borderId="0" xfId="304" applyNumberFormat="1" applyFont="1" applyAlignment="1">
      <alignment horizontal="right"/>
    </xf>
    <xf numFmtId="2" fontId="24" fillId="0" borderId="0" xfId="1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152" xfId="0" quotePrefix="1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17" fontId="19" fillId="0" borderId="39" xfId="0" quotePrefix="1" applyNumberFormat="1" applyFont="1" applyFill="1" applyBorder="1" applyAlignment="1">
      <alignment horizontal="center"/>
    </xf>
    <xf numFmtId="17" fontId="19" fillId="0" borderId="55" xfId="0" quotePrefix="1" applyNumberFormat="1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0" fontId="15" fillId="0" borderId="53" xfId="0" quotePrefix="1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17" fontId="15" fillId="0" borderId="53" xfId="0" quotePrefix="1" applyNumberFormat="1" applyFont="1" applyBorder="1" applyAlignment="1">
      <alignment horizontal="center"/>
    </xf>
    <xf numFmtId="17" fontId="19" fillId="0" borderId="39" xfId="0" quotePrefix="1" applyNumberFormat="1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39" xfId="0" quotePrefix="1" applyFont="1" applyBorder="1" applyAlignment="1">
      <alignment horizontal="center"/>
    </xf>
    <xf numFmtId="0" fontId="15" fillId="0" borderId="35" xfId="0" quotePrefix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9" xfId="0" quotePrefix="1" applyFont="1" applyBorder="1" applyAlignment="1">
      <alignment horizontal="center"/>
    </xf>
    <xf numFmtId="0" fontId="0" fillId="0" borderId="55" xfId="0" applyBorder="1" applyAlignment="1"/>
    <xf numFmtId="0" fontId="19" fillId="0" borderId="39" xfId="0" quotePrefix="1" applyNumberFormat="1" applyFont="1" applyBorder="1" applyAlignment="1">
      <alignment horizontal="center"/>
    </xf>
    <xf numFmtId="0" fontId="19" fillId="0" borderId="55" xfId="0" applyNumberFormat="1" applyFont="1" applyBorder="1" applyAlignment="1">
      <alignment horizontal="center"/>
    </xf>
    <xf numFmtId="0" fontId="19" fillId="0" borderId="40" xfId="0" applyNumberFormat="1" applyFont="1" applyBorder="1" applyAlignment="1">
      <alignment horizontal="center"/>
    </xf>
    <xf numFmtId="17" fontId="15" fillId="0" borderId="39" xfId="0" quotePrefix="1" applyNumberFormat="1" applyFont="1" applyBorder="1" applyAlignment="1">
      <alignment horizontal="center"/>
    </xf>
    <xf numFmtId="0" fontId="15" fillId="0" borderId="143" xfId="0" applyFont="1" applyBorder="1" applyAlignment="1">
      <alignment horizontal="center"/>
    </xf>
    <xf numFmtId="0" fontId="29" fillId="0" borderId="0" xfId="1" applyFont="1" applyAlignment="1">
      <alignment wrapText="1"/>
    </xf>
    <xf numFmtId="0" fontId="14" fillId="0" borderId="42" xfId="0" applyFont="1" applyBorder="1"/>
    <xf numFmtId="0" fontId="9" fillId="0" borderId="0" xfId="1" applyFont="1" applyAlignment="1">
      <alignment wrapText="1"/>
    </xf>
    <xf numFmtId="0" fontId="69" fillId="0" borderId="0" xfId="0" applyFont="1" applyBorder="1"/>
    <xf numFmtId="0" fontId="12" fillId="0" borderId="0" xfId="1" applyFont="1" applyAlignment="1">
      <alignment wrapText="1"/>
    </xf>
    <xf numFmtId="0" fontId="0" fillId="0" borderId="0" xfId="0" applyAlignment="1">
      <alignment wrapText="1"/>
    </xf>
    <xf numFmtId="0" fontId="12" fillId="0" borderId="0" xfId="1" applyFont="1" applyAlignment="1"/>
    <xf numFmtId="0" fontId="0" fillId="0" borderId="0" xfId="0" applyAlignment="1"/>
  </cellXfs>
  <cellStyles count="318">
    <cellStyle name="20% - Èmfasi1" xfId="220" builtinId="30" customBuiltin="1"/>
    <cellStyle name="20% - Èmfasi1 2" xfId="166"/>
    <cellStyle name="20% - Èmfasi1 2 2" xfId="192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2" xfId="224" builtinId="34" customBuiltin="1"/>
    <cellStyle name="20% - Èmfasi2 2" xfId="170"/>
    <cellStyle name="20% - Èmfasi2 2 2" xfId="194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3" xfId="228" builtinId="38" customBuiltin="1"/>
    <cellStyle name="20% - Èmfasi3 2" xfId="174"/>
    <cellStyle name="20% - Èmfasi3 2 2" xfId="196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4" xfId="232" builtinId="42" customBuiltin="1"/>
    <cellStyle name="20% - Èmfasi4 2" xfId="178"/>
    <cellStyle name="20% - Èmfasi4 2 2" xfId="198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5" xfId="236" builtinId="46" customBuiltin="1"/>
    <cellStyle name="20% - Èmfasi5 2" xfId="182"/>
    <cellStyle name="20% - Èmfasi5 2 2" xfId="200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6" xfId="240" builtinId="50" customBuiltin="1"/>
    <cellStyle name="20% - Èmfasi6 2" xfId="186"/>
    <cellStyle name="20% - Èmfasi6 2 2" xfId="202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2" xfId="167"/>
    <cellStyle name="40% - Èmfasi1 2 2" xfId="193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2" xfId="225" builtinId="35" customBuiltin="1"/>
    <cellStyle name="40% - Èmfasi2 2" xfId="171"/>
    <cellStyle name="40% - Èmfasi2 2 2" xfId="195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3" xfId="229" builtinId="39" customBuiltin="1"/>
    <cellStyle name="40% - Èmfasi3 2" xfId="175"/>
    <cellStyle name="40% - Èmfasi3 2 2" xfId="197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4" xfId="233" builtinId="43" customBuiltin="1"/>
    <cellStyle name="40% - Èmfasi4 2" xfId="179"/>
    <cellStyle name="40% - Èmfasi4 2 2" xfId="199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5" xfId="237" builtinId="47" customBuiltin="1"/>
    <cellStyle name="40% - Èmfasi5 2" xfId="183"/>
    <cellStyle name="40% - Èmfasi5 2 2" xfId="201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6" xfId="241" builtinId="51" customBuiltin="1"/>
    <cellStyle name="40% - Èmfasi6 2" xfId="187"/>
    <cellStyle name="40% - Èmfasi6 2 2" xfId="203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3" xfId="10"/>
    <cellStyle name="Normal 14" xfId="246"/>
    <cellStyle name="Normal 15" xfId="262"/>
    <cellStyle name="Normal 16" xfId="289"/>
    <cellStyle name="Normal 17" xfId="304"/>
    <cellStyle name="Normal 2" xfId="11"/>
    <cellStyle name="Normal 2 2" xfId="53"/>
    <cellStyle name="Normal 3" xfId="12"/>
    <cellStyle name="Normal 3 2" xfId="2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2" xfId="149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NOVEMBRE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(DCap!$O$10,DCap!$M$10)</c:f>
              <c:numCache>
                <c:formatCode>0.0%</c:formatCode>
                <c:ptCount val="2"/>
                <c:pt idx="0">
                  <c:v>0.83199999999999996</c:v>
                </c:pt>
                <c:pt idx="1">
                  <c:v>0.81959264335376247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(DCap!$O$13,DCap!$M$13)</c:f>
              <c:numCache>
                <c:formatCode>0.0%</c:formatCode>
                <c:ptCount val="2"/>
                <c:pt idx="0">
                  <c:v>0.52200000000000002</c:v>
                </c:pt>
                <c:pt idx="1">
                  <c:v>0.70081793524126723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(DCap!$O$16,DCap!$M$16)</c:f>
              <c:numCache>
                <c:formatCode>0.0%</c:formatCode>
                <c:ptCount val="2"/>
                <c:pt idx="0">
                  <c:v>0.86199999999999999</c:v>
                </c:pt>
                <c:pt idx="1">
                  <c:v>0.96724478764473254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(DCap!$O$17,DCap!$M$17)</c:f>
              <c:numCache>
                <c:formatCode>0.0%</c:formatCode>
                <c:ptCount val="2"/>
                <c:pt idx="0">
                  <c:v>0.76300000000000001</c:v>
                </c:pt>
                <c:pt idx="1">
                  <c:v>0.80923066688422207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99822976"/>
        <c:axId val="99853440"/>
      </c:barChart>
      <c:catAx>
        <c:axId val="9982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99853440"/>
        <c:crosses val="autoZero"/>
        <c:auto val="1"/>
        <c:lblAlgn val="ctr"/>
        <c:lblOffset val="100"/>
        <c:noMultiLvlLbl val="0"/>
      </c:catAx>
      <c:valAx>
        <c:axId val="99853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99822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Operacions.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0.81959264335376247</c:v>
                </c:pt>
                <c:pt idx="1">
                  <c:v>0.70081793524126723</c:v>
                </c:pt>
                <c:pt idx="2">
                  <c:v>0.96724478764473254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581760"/>
        <c:axId val="102601088"/>
      </c:barChart>
      <c:catAx>
        <c:axId val="102581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601088"/>
        <c:crosses val="autoZero"/>
        <c:auto val="1"/>
        <c:lblAlgn val="ctr"/>
        <c:lblOffset val="100"/>
        <c:noMultiLvlLbl val="0"/>
      </c:catAx>
      <c:valAx>
        <c:axId val="102601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581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600" cap="small" baseline="0"/>
              <a:t>Despeses per </a:t>
            </a:r>
            <a:r>
              <a:rPr lang="ca-ES" sz="1600" b="1" i="0" u="none" strike="noStrike" cap="small" baseline="0">
                <a:effectLst/>
              </a:rPr>
              <a:t>Operacions</a:t>
            </a:r>
            <a:r>
              <a:rPr lang="ca-ES" sz="1600" cap="small" baseline="0"/>
              <a:t>. Variació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(DCap!$P$10,DCap!$P$13,DCap!$P$16)</c:f>
              <c:numCache>
                <c:formatCode>0.0%</c:formatCode>
                <c:ptCount val="3"/>
                <c:pt idx="0">
                  <c:v>5.7209392266625692E-2</c:v>
                </c:pt>
                <c:pt idx="1">
                  <c:v>-8.1810137934790195E-4</c:v>
                </c:pt>
                <c:pt idx="2">
                  <c:v>0.20047580389873687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70816"/>
        <c:axId val="103172352"/>
      </c:barChart>
      <c:catAx>
        <c:axId val="10317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3172352"/>
        <c:crosses val="autoZero"/>
        <c:auto val="1"/>
        <c:lblAlgn val="ctr"/>
        <c:lblOffset val="100"/>
        <c:noMultiLvlLbl val="0"/>
      </c:catAx>
      <c:valAx>
        <c:axId val="1031723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17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 per Capítol.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0.85842294057519408</c:v>
                </c:pt>
                <c:pt idx="1">
                  <c:v>0.71195098054540817</c:v>
                </c:pt>
                <c:pt idx="2">
                  <c:v>0.93836377994092579</c:v>
                </c:pt>
                <c:pt idx="3">
                  <c:v>0.86410479075926838</c:v>
                </c:pt>
                <c:pt idx="4">
                  <c:v>0</c:v>
                </c:pt>
                <c:pt idx="5">
                  <c:v>0.70610541062649557</c:v>
                </c:pt>
                <c:pt idx="6">
                  <c:v>0.64923232840196321</c:v>
                </c:pt>
                <c:pt idx="7">
                  <c:v>0.76150881343514576</c:v>
                </c:pt>
                <c:pt idx="8">
                  <c:v>0.99493092154908314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185024"/>
        <c:axId val="103211392"/>
      </c:barChart>
      <c:catAx>
        <c:axId val="10318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3211392"/>
        <c:crosses val="autoZero"/>
        <c:auto val="1"/>
        <c:lblAlgn val="ctr"/>
        <c:lblOffset val="100"/>
        <c:noMultiLvlLbl val="0"/>
      </c:catAx>
      <c:valAx>
        <c:axId val="103211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18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 </a:t>
            </a:r>
            <a:r>
              <a:rPr lang="ca-ES" sz="1800" b="1" i="0" u="none" strike="noStrike" cap="small" baseline="0">
                <a:effectLst/>
              </a:rPr>
              <a:t>per Capítol</a:t>
            </a:r>
            <a:r>
              <a:rPr lang="ca-ES" sz="1800" b="1" i="0" cap="small" baseline="0">
                <a:effectLst/>
              </a:rPr>
              <a:t>. Variació Obligat (%)  15/14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38888888888888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1.3887795275590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(DCap!$P$5,DCap!$P$6,DCap!$P$7,DCap!$P$8,DCap!$P$9,DCap!$P$11,DCap!$P$12,DCap!$P$14,DCap!$P$15)</c:f>
              <c:numCache>
                <c:formatCode>0.0%</c:formatCode>
                <c:ptCount val="9"/>
                <c:pt idx="0">
                  <c:v>7.7287072761609288E-3</c:v>
                </c:pt>
                <c:pt idx="1">
                  <c:v>4.6395788305413355E-2</c:v>
                </c:pt>
                <c:pt idx="2">
                  <c:v>-0.21137540139796185</c:v>
                </c:pt>
                <c:pt idx="3">
                  <c:v>8.9666296937602752E-2</c:v>
                </c:pt>
                <c:pt idx="4">
                  <c:v>0</c:v>
                </c:pt>
                <c:pt idx="5">
                  <c:v>4.508906408036939E-2</c:v>
                </c:pt>
                <c:pt idx="6">
                  <c:v>-0.31847513074177414</c:v>
                </c:pt>
                <c:pt idx="7">
                  <c:v>9.6103200962526891E-2</c:v>
                </c:pt>
                <c:pt idx="8">
                  <c:v>0.21236638384962103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3418880"/>
        <c:axId val="103450496"/>
      </c:barChart>
      <c:catAx>
        <c:axId val="1034188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3450496"/>
        <c:crosses val="autoZero"/>
        <c:auto val="1"/>
        <c:lblAlgn val="ctr"/>
        <c:lblOffset val="100"/>
        <c:noMultiLvlLbl val="0"/>
      </c:catAx>
      <c:valAx>
        <c:axId val="103450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3418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(DDetallCorrent!$J$11,DDetallCorrent!$J$57,DDetallCorrent!$J$61,DDetallCorrent!$J$128)</c:f>
              <c:numCache>
                <c:formatCode>0.0%</c:formatCode>
                <c:ptCount val="4"/>
                <c:pt idx="0">
                  <c:v>0.85842294057519419</c:v>
                </c:pt>
                <c:pt idx="1">
                  <c:v>0.71195098054540817</c:v>
                </c:pt>
                <c:pt idx="2">
                  <c:v>0.93836377994092568</c:v>
                </c:pt>
                <c:pt idx="3">
                  <c:v>0.86401821496612918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710272"/>
        <c:axId val="102720256"/>
      </c:barChart>
      <c:catAx>
        <c:axId val="10271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102720256"/>
        <c:crosses val="autoZero"/>
        <c:auto val="1"/>
        <c:lblAlgn val="ctr"/>
        <c:lblOffset val="100"/>
        <c:noMultiLvlLbl val="0"/>
      </c:catAx>
      <c:valAx>
        <c:axId val="1027202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71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15/14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1351695419796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0052539404553416E-3"/>
                  <c:y val="-1.60108722811806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(DDetallCorrent!$B$11,DDetallCorrent!$B$57,DDetallCorrent!$B$61,DDetallCorrent!$B$128)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(DDetallCorrent!$M$11,DDetallCorrent!$M$57,DDetallCorrent!$M$61,DDetallCorrent!$M$128)</c:f>
              <c:numCache>
                <c:formatCode>0.0%</c:formatCode>
                <c:ptCount val="4"/>
                <c:pt idx="0">
                  <c:v>7.7287072761609288E-3</c:v>
                </c:pt>
                <c:pt idx="1">
                  <c:v>4.6395788305413577E-2</c:v>
                </c:pt>
                <c:pt idx="2">
                  <c:v>-0.21137540139796185</c:v>
                </c:pt>
                <c:pt idx="3">
                  <c:v>8.9666296937602752E-2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727040"/>
        <c:axId val="102754560"/>
      </c:barChart>
      <c:catAx>
        <c:axId val="10272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2754560"/>
        <c:crosses val="autoZero"/>
        <c:auto val="1"/>
        <c:lblAlgn val="ctr"/>
        <c:lblOffset val="100"/>
        <c:noMultiLvlLbl val="0"/>
      </c:catAx>
      <c:valAx>
        <c:axId val="102754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7270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(DProg!$J$6,DProg!$J$27,DProg!$J$34,DProg!$J$53,DProg!$J$61,DProg!$J$75)</c:f>
              <c:numCache>
                <c:formatCode>0.0%</c:formatCode>
                <c:ptCount val="6"/>
                <c:pt idx="0">
                  <c:v>0.96358331233726591</c:v>
                </c:pt>
                <c:pt idx="1">
                  <c:v>0.7337121134453406</c:v>
                </c:pt>
                <c:pt idx="2" formatCode="0%">
                  <c:v>0.80818856953619622</c:v>
                </c:pt>
                <c:pt idx="3">
                  <c:v>0.92206856122740888</c:v>
                </c:pt>
                <c:pt idx="4">
                  <c:v>0.90733797478375533</c:v>
                </c:pt>
                <c:pt idx="5">
                  <c:v>0.80866711563249916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866304"/>
        <c:axId val="102868096"/>
      </c:barChart>
      <c:catAx>
        <c:axId val="10286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2868096"/>
        <c:crosses val="autoZero"/>
        <c:auto val="1"/>
        <c:lblAlgn val="ctr"/>
        <c:lblOffset val="100"/>
        <c:noMultiLvlLbl val="0"/>
      </c:catAx>
      <c:valAx>
        <c:axId val="1028680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86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15/14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(DProg!$B$6,DProg!$B$27,DProg!$B$34,DProg!$B$53,DProg!$B$61,DProg!$B$75)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(DProg!$M$6,DProg!$M$27,DProg!$M$34,DProg!$M$53,DProg!$M$61,DProg!$M$75)</c:f>
              <c:numCache>
                <c:formatCode>0.0%</c:formatCode>
                <c:ptCount val="6"/>
                <c:pt idx="0">
                  <c:v>0.10374386080623266</c:v>
                </c:pt>
                <c:pt idx="1">
                  <c:v>4.2372054225073397E-2</c:v>
                </c:pt>
                <c:pt idx="2">
                  <c:v>4.6341121794927664E-2</c:v>
                </c:pt>
                <c:pt idx="3">
                  <c:v>8.3416657033124508E-2</c:v>
                </c:pt>
                <c:pt idx="4">
                  <c:v>0.27271007658863455</c:v>
                </c:pt>
                <c:pt idx="5">
                  <c:v>-4.8587283315877805E-2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331904"/>
        <c:axId val="102333440"/>
      </c:barChart>
      <c:catAx>
        <c:axId val="102331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2333440"/>
        <c:crosses val="autoZero"/>
        <c:auto val="1"/>
        <c:lblAlgn val="ctr"/>
        <c:lblOffset val="100"/>
        <c:noMultiLvlLbl val="0"/>
      </c:catAx>
      <c:valAx>
        <c:axId val="102333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33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(DProg!$J$83,DProg!$J$104,DProg!$J$111,DProg!$J$130,DProg!$J$138,DProg!$J$152)</c:f>
              <c:numCache>
                <c:formatCode>0.0%</c:formatCode>
                <c:ptCount val="6"/>
                <c:pt idx="0">
                  <c:v>0.92923317732595756</c:v>
                </c:pt>
                <c:pt idx="1">
                  <c:v>0.73043567977090462</c:v>
                </c:pt>
                <c:pt idx="2" formatCode="0%">
                  <c:v>0.80861817133609737</c:v>
                </c:pt>
                <c:pt idx="3">
                  <c:v>0.97979544101193194</c:v>
                </c:pt>
                <c:pt idx="4">
                  <c:v>0.92237929041452793</c:v>
                </c:pt>
                <c:pt idx="5">
                  <c:v>0.8313862728362722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2350208"/>
        <c:axId val="103466112"/>
      </c:barChart>
      <c:catAx>
        <c:axId val="1023502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3466112"/>
        <c:crosses val="autoZero"/>
        <c:auto val="1"/>
        <c:lblAlgn val="ctr"/>
        <c:lblOffset val="100"/>
        <c:noMultiLvlLbl val="0"/>
      </c:catAx>
      <c:valAx>
        <c:axId val="1034661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235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4101379130255238E-3"/>
                  <c:y val="6.996969752850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(DProg!$B$83,DProg!$B$104,DProg!$B$111,DProg!$B$130,DProg!$B$138,DProg!$B$152)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(DProg!$M$83,DProg!$M$104,DProg!$M$111,DProg!$M$130,DProg!$M$138,DProg!$M$152)</c:f>
              <c:numCache>
                <c:formatCode>0.0%</c:formatCode>
                <c:ptCount val="6"/>
                <c:pt idx="0">
                  <c:v>-0.18791854602609115</c:v>
                </c:pt>
                <c:pt idx="1">
                  <c:v>1.1361980834449392E-2</c:v>
                </c:pt>
                <c:pt idx="2">
                  <c:v>5.1137786386389328E-2</c:v>
                </c:pt>
                <c:pt idx="3">
                  <c:v>7.3244830743855127E-2</c:v>
                </c:pt>
                <c:pt idx="4">
                  <c:v>0.2854515938497415</c:v>
                </c:pt>
                <c:pt idx="5">
                  <c:v>3.2878191287227354E-2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407040"/>
        <c:axId val="104409728"/>
      </c:barChart>
      <c:catAx>
        <c:axId val="10440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409728"/>
        <c:crosses val="autoZero"/>
        <c:auto val="1"/>
        <c:lblAlgn val="ctr"/>
        <c:lblOffset val="100"/>
        <c:noMultiLvlLbl val="0"/>
      </c:catAx>
      <c:valAx>
        <c:axId val="10440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407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NOVEMBRE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0.85899999999999999</c:v>
                </c:pt>
                <c:pt idx="1">
                  <c:v>0.92873595022378652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0.60799999999999998</c:v>
                </c:pt>
                <c:pt idx="1">
                  <c:v>0.55578295009169232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7.0000000000000001E-3</c:v>
                </c:pt>
                <c:pt idx="1">
                  <c:v>4.0201168237766441E-2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2014</c:v>
              </c:pt>
              <c:pt idx="1">
                <c:v>2015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0.747</c:v>
                </c:pt>
                <c:pt idx="1">
                  <c:v>0.82708124835074748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504704"/>
        <c:axId val="100506240"/>
      </c:barChart>
      <c:catAx>
        <c:axId val="1005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00506240"/>
        <c:crosses val="autoZero"/>
        <c:auto val="1"/>
        <c:lblAlgn val="ctr"/>
        <c:lblOffset val="100"/>
        <c:noMultiLvlLbl val="0"/>
      </c:catAx>
      <c:valAx>
        <c:axId val="100506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5047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(DOrg!$J$16,DOrg!$J$27)</c:f>
              <c:numCache>
                <c:formatCode>0.0%</c:formatCode>
                <c:ptCount val="2"/>
                <c:pt idx="0">
                  <c:v>0.81316013016799882</c:v>
                </c:pt>
                <c:pt idx="1">
                  <c:v>0.78053818601557856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75680"/>
        <c:axId val="104777216"/>
      </c:barChart>
      <c:catAx>
        <c:axId val="104775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777216"/>
        <c:crosses val="autoZero"/>
        <c:auto val="1"/>
        <c:lblAlgn val="ctr"/>
        <c:lblOffset val="100"/>
        <c:noMultiLvlLbl val="0"/>
      </c:catAx>
      <c:valAx>
        <c:axId val="10477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7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4.2213166519309139E-3"/>
                  <c:y val="0.2721515946095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(DOrg!$B$16,DOrg!$B$27)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(DOrg!$M$16,DOrg!$M$27)</c:f>
              <c:numCache>
                <c:formatCode>0.0%</c:formatCode>
                <c:ptCount val="2"/>
                <c:pt idx="0">
                  <c:v>7.1739448459218647E-2</c:v>
                </c:pt>
                <c:pt idx="1">
                  <c:v>-3.4236254057449567E-2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96544"/>
        <c:axId val="104799232"/>
      </c:barChart>
      <c:catAx>
        <c:axId val="104796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799232"/>
        <c:crosses val="autoZero"/>
        <c:auto val="1"/>
        <c:lblAlgn val="ctr"/>
        <c:lblOffset val="100"/>
        <c:noMultiLvlLbl val="0"/>
      </c:catAx>
      <c:valAx>
        <c:axId val="104799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96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(DOrg!$J$46,DOrg!$J$57)</c:f>
              <c:numCache>
                <c:formatCode>0.0%</c:formatCode>
                <c:ptCount val="2"/>
                <c:pt idx="0">
                  <c:v>0.82179995689916352</c:v>
                </c:pt>
                <c:pt idx="1">
                  <c:v>0.80644259415153663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832384"/>
        <c:axId val="104838272"/>
      </c:barChart>
      <c:catAx>
        <c:axId val="104832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838272"/>
        <c:crosses val="autoZero"/>
        <c:auto val="1"/>
        <c:lblAlgn val="ctr"/>
        <c:lblOffset val="100"/>
        <c:noMultiLvlLbl val="0"/>
      </c:catAx>
      <c:valAx>
        <c:axId val="104838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832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(DOrg!$B$46,DOrg!$B$57)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(DOrg!$M$46,DOrg!$M$57)</c:f>
              <c:numCache>
                <c:formatCode>0.0%</c:formatCode>
                <c:ptCount val="2"/>
                <c:pt idx="0">
                  <c:v>6.4883636094394292E-2</c:v>
                </c:pt>
                <c:pt idx="1">
                  <c:v>1.2894112775600153E-2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945152"/>
        <c:axId val="104946688"/>
      </c:barChart>
      <c:catAx>
        <c:axId val="104945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946688"/>
        <c:crosses val="autoZero"/>
        <c:auto val="1"/>
        <c:lblAlgn val="ctr"/>
        <c:lblOffset val="100"/>
        <c:noMultiLvlLbl val="0"/>
      </c:catAx>
      <c:valAx>
        <c:axId val="1049466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945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0.72402810732233125</c:v>
                </c:pt>
                <c:pt idx="1">
                  <c:v>0.90561640682086486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824064"/>
        <c:axId val="106825600"/>
      </c:barChart>
      <c:catAx>
        <c:axId val="1068240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825600"/>
        <c:crosses val="autoZero"/>
        <c:auto val="1"/>
        <c:lblAlgn val="ctr"/>
        <c:lblOffset val="100"/>
        <c:noMultiLvlLbl val="0"/>
      </c:catAx>
      <c:valAx>
        <c:axId val="1068256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824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de Recursos (Cap. 2 i 4)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01'!$M$6,'DCap 01'!$M$8)</c:f>
              <c:numCache>
                <c:formatCode>0.0%</c:formatCode>
                <c:ptCount val="2"/>
                <c:pt idx="0">
                  <c:v>3.6202047276320481E-2</c:v>
                </c:pt>
                <c:pt idx="1">
                  <c:v>0.15563259222424963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970496"/>
        <c:axId val="106856448"/>
      </c:barChart>
      <c:catAx>
        <c:axId val="1049704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6856448"/>
        <c:crosses val="autoZero"/>
        <c:auto val="1"/>
        <c:lblAlgn val="ctr"/>
        <c:lblOffset val="100"/>
        <c:noMultiLvlLbl val="0"/>
      </c:catAx>
      <c:valAx>
        <c:axId val="10685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9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0.82567173964328056</c:v>
                </c:pt>
                <c:pt idx="1">
                  <c:v>0.70748046822697785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6893696"/>
        <c:axId val="106895232"/>
      </c:barChart>
      <c:catAx>
        <c:axId val="10689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6895232"/>
        <c:crosses val="autoZero"/>
        <c:auto val="1"/>
        <c:lblAlgn val="ctr"/>
        <c:lblOffset val="100"/>
        <c:noMultiLvlLbl val="0"/>
      </c:catAx>
      <c:valAx>
        <c:axId val="1068952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689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de Recursos 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01'!$M$10,'DCap 01'!$M$11)</c:f>
              <c:numCache>
                <c:formatCode>0.0%</c:formatCode>
                <c:ptCount val="2"/>
                <c:pt idx="0">
                  <c:v>-0.250350357686973</c:v>
                </c:pt>
                <c:pt idx="1">
                  <c:v>-5.8495694421022093E-2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7440384"/>
        <c:axId val="107442176"/>
      </c:barChart>
      <c:catAx>
        <c:axId val="107440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7442176"/>
        <c:crosses val="autoZero"/>
        <c:auto val="1"/>
        <c:lblAlgn val="ctr"/>
        <c:lblOffset val="100"/>
        <c:noMultiLvlLbl val="0"/>
      </c:catAx>
      <c:valAx>
        <c:axId val="107442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744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Drets Socials 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0.72170636397017252</c:v>
                </c:pt>
                <c:pt idx="1">
                  <c:v>0.86511914511159882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972864"/>
        <c:axId val="105974400"/>
      </c:barChart>
      <c:catAx>
        <c:axId val="10597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5974400"/>
        <c:crosses val="autoZero"/>
        <c:auto val="1"/>
        <c:lblAlgn val="ctr"/>
        <c:lblOffset val="100"/>
        <c:noMultiLvlLbl val="0"/>
      </c:catAx>
      <c:valAx>
        <c:axId val="1059744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5972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Drets Socials </a:t>
            </a:r>
            <a:r>
              <a:rPr lang="ca-ES" sz="1800" b="1" i="0" cap="small" baseline="0">
                <a:effectLst/>
              </a:rPr>
              <a:t>(Cap. 2 i 4) Var. Obligat 15/14 (%)</a:t>
            </a:r>
            <a:endParaRPr lang="ca-ES" sz="1800">
              <a:effectLst/>
            </a:endParaRPr>
          </a:p>
        </c:rich>
      </c:tx>
      <c:layout>
        <c:manualLayout>
          <c:xMode val="edge"/>
          <c:yMode val="edge"/>
          <c:x val="0.12570452183409961"/>
          <c:y val="1.64609053497942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02'!$M$6,'DCap 02'!$M$8)</c:f>
              <c:numCache>
                <c:formatCode>0.0%</c:formatCode>
                <c:ptCount val="2"/>
                <c:pt idx="0">
                  <c:v>3.3740079475046647E-2</c:v>
                </c:pt>
                <c:pt idx="1">
                  <c:v>0.27517942638750736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995264"/>
        <c:axId val="106005248"/>
      </c:barChart>
      <c:catAx>
        <c:axId val="105995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6005248"/>
        <c:crosses val="autoZero"/>
        <c:auto val="1"/>
        <c:lblAlgn val="ctr"/>
        <c:lblOffset val="100"/>
        <c:noMultiLvlLbl val="0"/>
      </c:catAx>
      <c:valAx>
        <c:axId val="1060052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599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Capítols.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0.88406410191232299</c:v>
                </c:pt>
                <c:pt idx="1">
                  <c:v>0.98857290314456792</c:v>
                </c:pt>
                <c:pt idx="2">
                  <c:v>0.84723500278922259</c:v>
                </c:pt>
                <c:pt idx="3">
                  <c:v>0.9907859129806813</c:v>
                </c:pt>
                <c:pt idx="4">
                  <c:v>0.78847933633552736</c:v>
                </c:pt>
                <c:pt idx="5">
                  <c:v>9.5720436930091193</c:v>
                </c:pt>
                <c:pt idx="6">
                  <c:v>0.45973408554990303</c:v>
                </c:pt>
                <c:pt idx="7">
                  <c:v>1.0482202</c:v>
                </c:pt>
                <c:pt idx="8">
                  <c:v>9.0028076137418766E-3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891264"/>
        <c:axId val="100898304"/>
      </c:barChart>
      <c:catAx>
        <c:axId val="10089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0898304"/>
        <c:crosses val="autoZero"/>
        <c:auto val="1"/>
        <c:lblAlgn val="ctr"/>
        <c:lblOffset val="100"/>
        <c:noMultiLvlLbl val="0"/>
      </c:catAx>
      <c:valAx>
        <c:axId val="100898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0891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Drets Socials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0.44711506034378834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860544"/>
        <c:axId val="108862080"/>
      </c:barChart>
      <c:catAx>
        <c:axId val="108860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108862080"/>
        <c:crosses val="autoZero"/>
        <c:auto val="1"/>
        <c:lblAlgn val="ctr"/>
        <c:lblOffset val="100"/>
        <c:noMultiLvlLbl val="0"/>
      </c:catAx>
      <c:valAx>
        <c:axId val="10886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86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600"/>
              <a:t>Despesa </a:t>
            </a:r>
            <a:r>
              <a:rPr lang="ca-ES" sz="1600" b="1" i="0" u="none" strike="noStrike" cap="small" baseline="0">
                <a:effectLst/>
              </a:rPr>
              <a:t>Gerència de Drets Socials </a:t>
            </a:r>
            <a:r>
              <a:rPr lang="ca-ES" sz="1600"/>
              <a:t>(Cap. 6 i 7) Var. Obligat 15/14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02'!$M$11,'DCap 02'!$M$12)</c:f>
              <c:numCache>
                <c:formatCode>0.0%</c:formatCode>
                <c:ptCount val="2"/>
                <c:pt idx="0">
                  <c:v>-0.59345553203651313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887040"/>
        <c:axId val="108901120"/>
      </c:barChart>
      <c:catAx>
        <c:axId val="1088870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8901120"/>
        <c:crosses val="autoZero"/>
        <c:auto val="1"/>
        <c:lblAlgn val="ctr"/>
        <c:lblOffset val="100"/>
        <c:noMultiLvlLbl val="0"/>
      </c:catAx>
      <c:valAx>
        <c:axId val="108901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8870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Seguretat i Prevenció (Cap. 2 i 4) Obligat/</a:t>
            </a:r>
            <a:r>
              <a:rPr lang="ca-ES" sz="1600" b="1" i="0" u="none" strike="noStrike" cap="small" baseline="0">
                <a:effectLst/>
              </a:rPr>
              <a:t>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0.59189402858691398</c:v>
                </c:pt>
                <c:pt idx="1">
                  <c:v>0.99863966938390603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844928"/>
        <c:axId val="108846464"/>
      </c:barChart>
      <c:catAx>
        <c:axId val="108844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846464"/>
        <c:crosses val="autoZero"/>
        <c:auto val="1"/>
        <c:lblAlgn val="ctr"/>
        <c:lblOffset val="100"/>
        <c:noMultiLvlLbl val="0"/>
      </c:catAx>
      <c:valAx>
        <c:axId val="108846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84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464831804281346E-2"/>
                  <c:y val="0.56666750656167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04'!$M$6,'DCap 04'!$M$8)</c:f>
              <c:numCache>
                <c:formatCode>0.0%</c:formatCode>
                <c:ptCount val="2"/>
                <c:pt idx="0">
                  <c:v>-6.1415186552564727E-2</c:v>
                </c:pt>
                <c:pt idx="1">
                  <c:v>0.23446075311467274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345024"/>
        <c:axId val="109347968"/>
      </c:barChart>
      <c:catAx>
        <c:axId val="109345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9347968"/>
        <c:crosses val="autoZero"/>
        <c:auto val="1"/>
        <c:lblAlgn val="ctr"/>
        <c:lblOffset val="100"/>
        <c:noMultiLvlLbl val="0"/>
      </c:catAx>
      <c:valAx>
        <c:axId val="109347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34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0.26484832651200446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377024"/>
        <c:axId val="109378560"/>
      </c:barChart>
      <c:catAx>
        <c:axId val="109377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9378560"/>
        <c:crosses val="autoZero"/>
        <c:auto val="1"/>
        <c:lblAlgn val="ctr"/>
        <c:lblOffset val="100"/>
        <c:noMultiLvlLbl val="0"/>
      </c:catAx>
      <c:valAx>
        <c:axId val="109378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37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Seguretat i Prevenció </a:t>
            </a:r>
            <a:r>
              <a:rPr lang="ca-ES" sz="1600" b="1" i="0" cap="small" baseline="0">
                <a:effectLst/>
              </a:rPr>
              <a:t>       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3.0418250950570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390804597701149E-2"/>
                  <c:y val="0.288973384030418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04'!$M$10,'DCap 04'!$M$11)</c:f>
              <c:numCache>
                <c:formatCode>General</c:formatCode>
                <c:ptCount val="2"/>
                <c:pt idx="0" formatCode="0.0%">
                  <c:v>-0.37739882563785621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672320"/>
        <c:axId val="109687552"/>
      </c:barChart>
      <c:catAx>
        <c:axId val="109672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9687552"/>
        <c:crosses val="autoZero"/>
        <c:auto val="1"/>
        <c:lblAlgn val="ctr"/>
        <c:lblOffset val="100"/>
        <c:noMultiLvlLbl val="0"/>
      </c:catAx>
      <c:valAx>
        <c:axId val="109687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967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0.67812386257053148</c:v>
                </c:pt>
                <c:pt idx="1">
                  <c:v>0.7224818735025359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67936"/>
        <c:axId val="110169472"/>
      </c:barChart>
      <c:catAx>
        <c:axId val="11016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169472"/>
        <c:crosses val="autoZero"/>
        <c:auto val="1"/>
        <c:lblAlgn val="ctr"/>
        <c:lblOffset val="100"/>
        <c:noMultiLvlLbl val="0"/>
      </c:catAx>
      <c:valAx>
        <c:axId val="110169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6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892263195950805E-3"/>
                  <c:y val="1.6616177523264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90909090909090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0501'!$M$6,'DCap 0501'!$M$8)</c:f>
              <c:numCache>
                <c:formatCode>0.0%</c:formatCode>
                <c:ptCount val="2"/>
                <c:pt idx="0">
                  <c:v>0.14063029903724633</c:v>
                </c:pt>
                <c:pt idx="1">
                  <c:v>0.31175754414320811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96992"/>
        <c:axId val="110204032"/>
      </c:barChart>
      <c:catAx>
        <c:axId val="110196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0204032"/>
        <c:crosses val="autoZero"/>
        <c:auto val="1"/>
        <c:lblAlgn val="ctr"/>
        <c:lblOffset val="100"/>
        <c:noMultiLvlLbl val="0"/>
      </c:catAx>
      <c:valAx>
        <c:axId val="110204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96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0.5696573156539585</c:v>
                </c:pt>
                <c:pt idx="1">
                  <c:v>0.42656357303581188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896640"/>
        <c:axId val="110898176"/>
      </c:barChart>
      <c:catAx>
        <c:axId val="110896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0898176"/>
        <c:crosses val="autoZero"/>
        <c:auto val="1"/>
        <c:lblAlgn val="ctr"/>
        <c:lblOffset val="100"/>
        <c:noMultiLvlLbl val="0"/>
      </c:catAx>
      <c:valAx>
        <c:axId val="110898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89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Ecologia Urbana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0501'!$M$10,'DCap 0501'!$M$11)</c:f>
              <c:numCache>
                <c:formatCode>0.0%</c:formatCode>
                <c:ptCount val="2"/>
                <c:pt idx="0">
                  <c:v>0.15333979368607076</c:v>
                </c:pt>
                <c:pt idx="1">
                  <c:v>-0.13905281549832471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910848"/>
        <c:axId val="110937216"/>
      </c:barChart>
      <c:catAx>
        <c:axId val="11091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0937216"/>
        <c:crosses val="autoZero"/>
        <c:auto val="1"/>
        <c:lblAlgn val="ctr"/>
        <c:lblOffset val="100"/>
        <c:noMultiLvlLbl val="0"/>
      </c:catAx>
      <c:valAx>
        <c:axId val="110937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91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</a:t>
            </a:r>
            <a:r>
              <a:rPr lang="ca-ES" sz="1800" b="1" i="0" u="none" strike="noStrike" cap="small" baseline="0">
                <a:effectLst/>
              </a:rPr>
              <a:t>per Capítols</a:t>
            </a:r>
            <a:r>
              <a:rPr lang="ca-ES" sz="1800" cap="small" baseline="0"/>
              <a:t>. Variació DL (%) 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0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4073910761154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5.33333333333333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9.9921234622424304E-2</c:v>
                </c:pt>
                <c:pt idx="1">
                  <c:v>0.10718659191632107</c:v>
                </c:pt>
                <c:pt idx="2">
                  <c:v>0.1097405418667583</c:v>
                </c:pt>
                <c:pt idx="3">
                  <c:v>9.2346013405136596E-2</c:v>
                </c:pt>
                <c:pt idx="4">
                  <c:v>0.3517982123575274</c:v>
                </c:pt>
                <c:pt idx="5">
                  <c:v>-0.52280831050758181</c:v>
                </c:pt>
                <c:pt idx="6">
                  <c:v>1.0153464001163086</c:v>
                </c:pt>
                <c:pt idx="7">
                  <c:v>0</c:v>
                </c:pt>
                <c:pt idx="8">
                  <c:v>-0.13544129514570724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187968"/>
        <c:axId val="101190656"/>
      </c:barChart>
      <c:catAx>
        <c:axId val="1011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190656"/>
        <c:crosses val="autoZero"/>
        <c:auto val="1"/>
        <c:lblAlgn val="ctr"/>
        <c:lblOffset val="100"/>
        <c:noMultiLvlLbl val="0"/>
      </c:catAx>
      <c:valAx>
        <c:axId val="101190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187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Adj. Mediambient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0.71903323548228004</c:v>
                </c:pt>
                <c:pt idx="1">
                  <c:v>0.86248335470183202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679680"/>
        <c:axId val="104685568"/>
      </c:barChart>
      <c:catAx>
        <c:axId val="104679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4685568"/>
        <c:crosses val="autoZero"/>
        <c:auto val="1"/>
        <c:lblAlgn val="ctr"/>
        <c:lblOffset val="100"/>
        <c:noMultiLvlLbl val="0"/>
      </c:catAx>
      <c:valAx>
        <c:axId val="104685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67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Adj. Mediambient i Serv. Urbans </a:t>
            </a:r>
            <a:r>
              <a:rPr lang="ca-ES" sz="1400" b="1" i="0" cap="small" baseline="0">
                <a:effectLst/>
              </a:rPr>
              <a:t>(Cap. 2 i 4)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6.2597809076682318E-3"/>
                  <c:y val="1.7157634707426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0502'!$M$6,'DCap 0502'!$M$8)</c:f>
              <c:numCache>
                <c:formatCode>0.0%</c:formatCode>
                <c:ptCount val="2"/>
                <c:pt idx="0">
                  <c:v>6.1296731096388113E-2</c:v>
                </c:pt>
                <c:pt idx="1">
                  <c:v>-9.4606186712801077E-2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4716928"/>
        <c:axId val="104723968"/>
      </c:barChart>
      <c:catAx>
        <c:axId val="104716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4723968"/>
        <c:crosses val="autoZero"/>
        <c:auto val="1"/>
        <c:lblAlgn val="ctr"/>
        <c:lblOffset val="100"/>
        <c:noMultiLvlLbl val="0"/>
      </c:catAx>
      <c:valAx>
        <c:axId val="1047239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471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Adj. Mediambient i Serv. Urbans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General</c:formatCode>
                <c:ptCount val="2"/>
                <c:pt idx="0" formatCode="0.0%">
                  <c:v>0.42436637062883426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0131072"/>
        <c:axId val="110132608"/>
      </c:barChart>
      <c:catAx>
        <c:axId val="110131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132608"/>
        <c:crosses val="autoZero"/>
        <c:auto val="1"/>
        <c:lblAlgn val="ctr"/>
        <c:lblOffset val="100"/>
        <c:noMultiLvlLbl val="0"/>
      </c:catAx>
      <c:valAx>
        <c:axId val="110132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013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Adj. Mediambient i Serv. Urbans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0502'!$M$10,'DCap 0502'!$M$11)</c:f>
              <c:numCache>
                <c:formatCode>0.0%</c:formatCode>
                <c:ptCount val="2"/>
                <c:pt idx="0">
                  <c:v>-0.67721364461640143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893888"/>
        <c:axId val="105895424"/>
      </c:barChart>
      <c:catAx>
        <c:axId val="10589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5895424"/>
        <c:crosses val="autoZero"/>
        <c:auto val="1"/>
        <c:lblAlgn val="ctr"/>
        <c:lblOffset val="100"/>
        <c:noMultiLvlLbl val="0"/>
      </c:catAx>
      <c:valAx>
        <c:axId val="10589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589388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Adj.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0.56204969060631027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171840"/>
        <c:axId val="111177728"/>
      </c:barChart>
      <c:catAx>
        <c:axId val="111171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1177728"/>
        <c:crosses val="autoZero"/>
        <c:auto val="1"/>
        <c:lblAlgn val="ctr"/>
        <c:lblOffset val="100"/>
        <c:noMultiLvlLbl val="0"/>
      </c:catAx>
      <c:valAx>
        <c:axId val="111177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17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cap="small" baseline="0">
                <a:effectLst/>
              </a:rPr>
              <a:t>Adj. </a:t>
            </a:r>
            <a:r>
              <a:rPr lang="ca-ES" sz="1600" b="1" i="0" cap="small" baseline="0">
                <a:effectLst/>
              </a:rPr>
              <a:t>Urbanisme (Cap. 2 i 4)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0503'!$M$6,'DCap 0503'!$M$8)</c:f>
              <c:numCache>
                <c:formatCode>0.0%</c:formatCode>
                <c:ptCount val="2"/>
                <c:pt idx="0">
                  <c:v>0.82203103395469923</c:v>
                </c:pt>
                <c:pt idx="1">
                  <c:v>-0.98484413411895311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1202688"/>
        <c:axId val="111204224"/>
      </c:barChart>
      <c:catAx>
        <c:axId val="11120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1204224"/>
        <c:crosses val="autoZero"/>
        <c:auto val="1"/>
        <c:lblAlgn val="ctr"/>
        <c:lblOffset val="100"/>
        <c:noMultiLvlLbl val="0"/>
      </c:catAx>
      <c:valAx>
        <c:axId val="1112042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120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</a:t>
            </a:r>
            <a:r>
              <a:rPr lang="ca-ES" sz="1400" b="1" i="0" u="none" strike="noStrike" cap="small" baseline="0">
                <a:effectLst/>
              </a:rPr>
              <a:t>Adj. </a:t>
            </a:r>
            <a:r>
              <a:rPr lang="ca-ES" sz="1400" b="1" i="0" cap="small" baseline="0">
                <a:effectLst/>
              </a:rPr>
              <a:t>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761088"/>
        <c:axId val="112766976"/>
      </c:barChart>
      <c:catAx>
        <c:axId val="112761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2766976"/>
        <c:crosses val="autoZero"/>
        <c:auto val="1"/>
        <c:lblAlgn val="ctr"/>
        <c:lblOffset val="100"/>
        <c:noMultiLvlLbl val="0"/>
      </c:catAx>
      <c:valAx>
        <c:axId val="112766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76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</a:t>
            </a:r>
            <a:r>
              <a:rPr lang="ca-ES" sz="1400" b="1" i="0" u="none" strike="noStrike" cap="small" baseline="0">
                <a:effectLst/>
              </a:rPr>
              <a:t>Adj. </a:t>
            </a:r>
            <a:r>
              <a:rPr lang="ca-ES" sz="1400" b="1" i="0" cap="small" baseline="0">
                <a:effectLst/>
              </a:rPr>
              <a:t>Urbanisme (Cap. 6 i 7) Var. Obligat 15/14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0503'!$M$10,'DCap 0503'!$M$11)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988544"/>
        <c:axId val="112990080"/>
      </c:barChart>
      <c:catAx>
        <c:axId val="1129885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2990080"/>
        <c:crosses val="autoZero"/>
        <c:auto val="1"/>
        <c:lblAlgn val="ctr"/>
        <c:lblOffset val="100"/>
        <c:noMultiLvlLbl val="0"/>
      </c:catAx>
      <c:valAx>
        <c:axId val="112990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98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Adj. Mobilitat i Infr.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0.56204969060631027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517696"/>
        <c:axId val="113524736"/>
      </c:barChart>
      <c:catAx>
        <c:axId val="11351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3524736"/>
        <c:crosses val="autoZero"/>
        <c:auto val="1"/>
        <c:lblAlgn val="ctr"/>
        <c:lblOffset val="100"/>
        <c:noMultiLvlLbl val="0"/>
      </c:catAx>
      <c:valAx>
        <c:axId val="11352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5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Adj. Mobilitat i Infr.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0504'!$M$6,'DCap 0504'!$M$8)</c:f>
              <c:numCache>
                <c:formatCode>0.0%</c:formatCode>
                <c:ptCount val="2"/>
                <c:pt idx="0">
                  <c:v>-0.90601180997796216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447296"/>
        <c:axId val="113448832"/>
      </c:barChart>
      <c:catAx>
        <c:axId val="1134472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448832"/>
        <c:crosses val="autoZero"/>
        <c:auto val="1"/>
        <c:lblAlgn val="ctr"/>
        <c:lblOffset val="100"/>
        <c:noMultiLvlLbl val="0"/>
      </c:catAx>
      <c:valAx>
        <c:axId val="113448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44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0.92873595022378652</c:v>
                </c:pt>
                <c:pt idx="1">
                  <c:v>0.55578295009169232</c:v>
                </c:pt>
                <c:pt idx="2">
                  <c:v>4.0201168237766441E-2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225984"/>
        <c:axId val="101227520"/>
      </c:barChart>
      <c:catAx>
        <c:axId val="10122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1227520"/>
        <c:crosses val="autoZero"/>
        <c:auto val="1"/>
        <c:lblAlgn val="ctr"/>
        <c:lblOffset val="100"/>
        <c:noMultiLvlLbl val="0"/>
      </c:catAx>
      <c:valAx>
        <c:axId val="101227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22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Adj. Mobilitat i Infr.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 sz="18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465600"/>
        <c:axId val="113471488"/>
      </c:barChart>
      <c:catAx>
        <c:axId val="11346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3471488"/>
        <c:crosses val="autoZero"/>
        <c:auto val="1"/>
        <c:lblAlgn val="ctr"/>
        <c:lblOffset val="100"/>
        <c:noMultiLvlLbl val="0"/>
      </c:catAx>
      <c:valAx>
        <c:axId val="113471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46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u="none" strike="noStrike" cap="small" baseline="0">
                <a:effectLst/>
              </a:rPr>
              <a:t>Gerència Adj. Mobilitat i Infr. </a:t>
            </a:r>
            <a:r>
              <a:rPr lang="ca-ES" sz="1600" b="1" i="0" cap="small" baseline="0">
                <a:effectLst/>
              </a:rPr>
              <a:t>(Cap. 6 i 7) 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0504'!$M$10,'DCap 0504'!$M$11)</c:f>
              <c:numCache>
                <c:formatCode>0.0%</c:formatCode>
                <c:ptCount val="2"/>
                <c:pt idx="0">
                  <c:v>-0.99826245294612781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037120"/>
        <c:axId val="114038656"/>
      </c:barChart>
      <c:catAx>
        <c:axId val="1140371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4038656"/>
        <c:crosses val="autoZero"/>
        <c:auto val="1"/>
        <c:lblAlgn val="ctr"/>
        <c:lblOffset val="100"/>
        <c:noMultiLvlLbl val="0"/>
      </c:catAx>
      <c:valAx>
        <c:axId val="114038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4037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0.77236220532081634</c:v>
                </c:pt>
                <c:pt idx="1">
                  <c:v>0.98553824319644623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5790848"/>
        <c:axId val="105796736"/>
      </c:barChart>
      <c:catAx>
        <c:axId val="105790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5796736"/>
        <c:crosses val="autoZero"/>
        <c:auto val="1"/>
        <c:lblAlgn val="ctr"/>
        <c:lblOffset val="100"/>
        <c:noMultiLvlLbl val="0"/>
      </c:catAx>
      <c:valAx>
        <c:axId val="105796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5790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0090090090090089E-3"/>
                  <c:y val="0.13284137987675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0701'!$M$6,'DCap 0701'!$M$8)</c:f>
              <c:numCache>
                <c:formatCode>0.0%</c:formatCode>
                <c:ptCount val="2"/>
                <c:pt idx="0">
                  <c:v>17.014209853635382</c:v>
                </c:pt>
                <c:pt idx="1">
                  <c:v>0.10964564286143097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3033216"/>
        <c:axId val="113035904"/>
      </c:barChart>
      <c:catAx>
        <c:axId val="1130332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3035904"/>
        <c:crosses val="autoZero"/>
        <c:auto val="1"/>
        <c:lblAlgn val="ctr"/>
        <c:lblOffset val="100"/>
        <c:noMultiLvlLbl val="0"/>
      </c:catAx>
      <c:valAx>
        <c:axId val="1130359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3033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0.38529393322788896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092416"/>
        <c:axId val="108098304"/>
      </c:barChart>
      <c:catAx>
        <c:axId val="108092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8098304"/>
        <c:crosses val="autoZero"/>
        <c:auto val="1"/>
        <c:lblAlgn val="ctr"/>
        <c:lblOffset val="100"/>
        <c:noMultiLvlLbl val="0"/>
      </c:catAx>
      <c:valAx>
        <c:axId val="108098304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809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0701'!$M$10,'DCap 0701'!$M$11)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123264"/>
        <c:axId val="108124800"/>
      </c:barChart>
      <c:catAx>
        <c:axId val="108123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108124800"/>
        <c:crosses val="autoZero"/>
        <c:auto val="1"/>
        <c:lblAlgn val="ctr"/>
        <c:lblOffset val="100"/>
        <c:noMultiLvlLbl val="0"/>
      </c:catAx>
      <c:valAx>
        <c:axId val="1081248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1232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0.36825997837477459</c:v>
                </c:pt>
                <c:pt idx="1">
                  <c:v>0.87378868586763181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418176"/>
        <c:axId val="112448640"/>
      </c:barChart>
      <c:catAx>
        <c:axId val="1124181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2448640"/>
        <c:crosses val="autoZero"/>
        <c:auto val="1"/>
        <c:lblAlgn val="ctr"/>
        <c:lblOffset val="100"/>
        <c:noMultiLvlLbl val="0"/>
      </c:catAx>
      <c:valAx>
        <c:axId val="112448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41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0702'!$M$6,'DCap 0702'!$M$8)</c:f>
              <c:numCache>
                <c:formatCode>0.0%</c:formatCode>
                <c:ptCount val="2"/>
                <c:pt idx="0">
                  <c:v>4.3762739116135485E-3</c:v>
                </c:pt>
                <c:pt idx="1">
                  <c:v>0.13672198032342564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557888"/>
        <c:axId val="115559424"/>
      </c:barChart>
      <c:catAx>
        <c:axId val="115557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5559424"/>
        <c:crosses val="autoZero"/>
        <c:auto val="1"/>
        <c:lblAlgn val="ctr"/>
        <c:lblOffset val="100"/>
        <c:noMultiLvlLbl val="0"/>
      </c:catAx>
      <c:valAx>
        <c:axId val="115559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55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0.17009634831460674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580288"/>
        <c:axId val="115586176"/>
      </c:barChart>
      <c:catAx>
        <c:axId val="1155802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5586176"/>
        <c:crosses val="autoZero"/>
        <c:auto val="1"/>
        <c:lblAlgn val="ctr"/>
        <c:lblOffset val="100"/>
        <c:noMultiLvlLbl val="0"/>
      </c:catAx>
      <c:valAx>
        <c:axId val="1155861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58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0702'!$M$10,'DCap 0702'!$M$11)</c:f>
              <c:numCache>
                <c:formatCode>0.0%</c:formatCode>
                <c:ptCount val="2"/>
                <c:pt idx="0">
                  <c:v>-0.98570564091366453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5824128"/>
        <c:axId val="115825664"/>
      </c:barChart>
      <c:catAx>
        <c:axId val="115824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5825664"/>
        <c:crosses val="autoZero"/>
        <c:auto val="1"/>
        <c:lblAlgn val="ctr"/>
        <c:lblOffset val="100"/>
        <c:noMultiLvlLbl val="0"/>
      </c:catAx>
      <c:valAx>
        <c:axId val="115825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582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15/14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4336917562723962E-2"/>
                  <c:y val="0.12437810945273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0.10052302335845376</c:v>
                </c:pt>
                <c:pt idx="1">
                  <c:v>0.27138818913197471</c:v>
                </c:pt>
                <c:pt idx="2">
                  <c:v>2.980089762420755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59840"/>
        <c:axId val="101475072"/>
      </c:barChart>
      <c:catAx>
        <c:axId val="10145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475072"/>
        <c:crosses val="autoZero"/>
        <c:auto val="1"/>
        <c:lblAlgn val="ctr"/>
        <c:lblOffset val="100"/>
        <c:noMultiLvlLbl val="0"/>
      </c:catAx>
      <c:valAx>
        <c:axId val="101475072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10145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0.80430477938532874</c:v>
                </c:pt>
                <c:pt idx="1">
                  <c:v>0.73952511800101661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340224"/>
        <c:axId val="114341760"/>
      </c:barChart>
      <c:catAx>
        <c:axId val="114340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4341760"/>
        <c:crosses val="autoZero"/>
        <c:auto val="1"/>
        <c:lblAlgn val="ctr"/>
        <c:lblOffset val="100"/>
        <c:noMultiLvlLbl val="0"/>
      </c:catAx>
      <c:valAx>
        <c:axId val="114341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434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0703'!$M$6,'DCap 0703'!$M$8)</c:f>
              <c:numCache>
                <c:formatCode>0.0%</c:formatCode>
                <c:ptCount val="2"/>
                <c:pt idx="0">
                  <c:v>-0.67747127626314774</c:v>
                </c:pt>
                <c:pt idx="1">
                  <c:v>0.11139800083985651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4350336"/>
        <c:axId val="116883456"/>
      </c:barChart>
      <c:catAx>
        <c:axId val="114350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883456"/>
        <c:crosses val="autoZero"/>
        <c:auto val="1"/>
        <c:lblAlgn val="ctr"/>
        <c:lblOffset val="100"/>
        <c:noMultiLvlLbl val="0"/>
      </c:catAx>
      <c:valAx>
        <c:axId val="116883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4350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0.76729701896510016</c:v>
                </c:pt>
                <c:pt idx="1">
                  <c:v>0.79947776024932182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904320"/>
        <c:axId val="116905856"/>
      </c:barChart>
      <c:catAx>
        <c:axId val="116904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905856"/>
        <c:crosses val="autoZero"/>
        <c:auto val="1"/>
        <c:lblAlgn val="ctr"/>
        <c:lblOffset val="100"/>
        <c:noMultiLvlLbl val="0"/>
      </c:catAx>
      <c:valAx>
        <c:axId val="1169058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904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0703'!$M$11,'DCap 0703'!$M$12)</c:f>
              <c:numCache>
                <c:formatCode>0.0%</c:formatCode>
                <c:ptCount val="2"/>
                <c:pt idx="0">
                  <c:v>4.1140498880131826E-2</c:v>
                </c:pt>
                <c:pt idx="1">
                  <c:v>-0.42779821869365664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135616"/>
        <c:axId val="117137408"/>
      </c:barChart>
      <c:catAx>
        <c:axId val="117135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7137408"/>
        <c:crosses val="autoZero"/>
        <c:auto val="1"/>
        <c:lblAlgn val="ctr"/>
        <c:lblOffset val="100"/>
        <c:noMultiLvlLbl val="0"/>
      </c:catAx>
      <c:valAx>
        <c:axId val="1171374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135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DC, Part. i Transparència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</c:v>
                </c:pt>
                <c:pt idx="1">
                  <c:v>0.98609100381077086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404416"/>
        <c:axId val="117405952"/>
      </c:barChart>
      <c:catAx>
        <c:axId val="117404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7405952"/>
        <c:crosses val="autoZero"/>
        <c:auto val="1"/>
        <c:lblAlgn val="ctr"/>
        <c:lblOffset val="100"/>
        <c:noMultiLvlLbl val="0"/>
      </c:catAx>
      <c:valAx>
        <c:axId val="117405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40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08'!$M$6,'DCap 08'!$M$8)</c:f>
              <c:numCache>
                <c:formatCode>0.0%</c:formatCode>
                <c:ptCount val="2"/>
                <c:pt idx="0">
                  <c:v>0</c:v>
                </c:pt>
                <c:pt idx="1">
                  <c:v>5.298500568893405E-2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8022400"/>
        <c:axId val="108028288"/>
      </c:barChart>
      <c:catAx>
        <c:axId val="108022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8028288"/>
        <c:crosses val="autoZero"/>
        <c:auto val="1"/>
        <c:lblAlgn val="ctr"/>
        <c:lblOffset val="100"/>
        <c:noMultiLvlLbl val="0"/>
      </c:catAx>
      <c:valAx>
        <c:axId val="108028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8022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0</c:v>
                </c:pt>
                <c:pt idx="1">
                  <c:v>0.96122053862992418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7379840"/>
        <c:axId val="117381376"/>
      </c:barChart>
      <c:catAx>
        <c:axId val="117379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7381376"/>
        <c:crosses val="autoZero"/>
        <c:auto val="1"/>
        <c:lblAlgn val="ctr"/>
        <c:lblOffset val="100"/>
        <c:noMultiLvlLbl val="0"/>
      </c:catAx>
      <c:valAx>
        <c:axId val="1173813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7379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Despesa Gerència DC, Part. i Transparència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15/14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0.229885057471264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08'!$M$10,'DCap 08'!$M$11)</c:f>
              <c:numCache>
                <c:formatCode>0.0%</c:formatCode>
                <c:ptCount val="2"/>
                <c:pt idx="0">
                  <c:v>0</c:v>
                </c:pt>
                <c:pt idx="1">
                  <c:v>-7.0074754201554068E-2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2284800"/>
        <c:axId val="112295936"/>
      </c:barChart>
      <c:catAx>
        <c:axId val="1122848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2295936"/>
        <c:crosses val="autoZero"/>
        <c:auto val="1"/>
        <c:lblAlgn val="ctr"/>
        <c:lblOffset val="100"/>
        <c:noMultiLvlLbl val="0"/>
      </c:catAx>
      <c:valAx>
        <c:axId val="1122959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228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0.71657281325226962</c:v>
                </c:pt>
                <c:pt idx="1">
                  <c:v>0.94019313890797063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393088"/>
        <c:axId val="116394624"/>
      </c:barChart>
      <c:catAx>
        <c:axId val="11639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394624"/>
        <c:crosses val="autoZero"/>
        <c:auto val="1"/>
        <c:lblAlgn val="ctr"/>
        <c:lblOffset val="100"/>
        <c:noMultiLvlLbl val="0"/>
      </c:catAx>
      <c:valAx>
        <c:axId val="11639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39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06'!$M$6,'DCap 06'!$M$8)</c:f>
              <c:numCache>
                <c:formatCode>0.0%</c:formatCode>
                <c:ptCount val="2"/>
                <c:pt idx="0">
                  <c:v>2.1972533736343669E-2</c:v>
                </c:pt>
                <c:pt idx="1">
                  <c:v>5.9288161126569427E-4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409856"/>
        <c:axId val="116441472"/>
      </c:barChart>
      <c:catAx>
        <c:axId val="116409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441472"/>
        <c:crosses val="autoZero"/>
        <c:auto val="1"/>
        <c:lblAlgn val="ctr"/>
        <c:lblOffset val="100"/>
        <c:noMultiLvlLbl val="0"/>
      </c:catAx>
      <c:valAx>
        <c:axId val="1164414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40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(IDetallCorrent!$F$11,IDetallCorrent!$F$14,IDetallCorrent!$F$37,IDetallCorrent!$F$60,IDetallCorrent!$F$67,IDetallCorrent!$F$68)</c:f>
              <c:numCache>
                <c:formatCode>0.0%</c:formatCode>
                <c:ptCount val="6"/>
                <c:pt idx="0">
                  <c:v>0.8857406665835762</c:v>
                </c:pt>
                <c:pt idx="1">
                  <c:v>0.96597694182741844</c:v>
                </c:pt>
                <c:pt idx="2">
                  <c:v>0.84723500278922259</c:v>
                </c:pt>
                <c:pt idx="3">
                  <c:v>1.1545202272829165</c:v>
                </c:pt>
                <c:pt idx="4">
                  <c:v>0.78847933633552736</c:v>
                </c:pt>
                <c:pt idx="5">
                  <c:v>0.92873595022378652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80320"/>
        <c:axId val="101946496"/>
      </c:barChart>
      <c:catAx>
        <c:axId val="101480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101946496"/>
        <c:crosses val="autoZero"/>
        <c:auto val="1"/>
        <c:lblAlgn val="ctr"/>
        <c:lblOffset val="100"/>
        <c:noMultiLvlLbl val="0"/>
      </c:catAx>
      <c:valAx>
        <c:axId val="101946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480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06'!$J$10,'DCap 06'!$J$11)</c:f>
              <c:numCache>
                <c:formatCode>0.0%</c:formatCode>
                <c:ptCount val="2"/>
                <c:pt idx="0">
                  <c:v>0.52574194445842515</c:v>
                </c:pt>
                <c:pt idx="1">
                  <c:v>0.30956923575838974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454144"/>
        <c:axId val="116455680"/>
      </c:barChart>
      <c:catAx>
        <c:axId val="116454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16455680"/>
        <c:crosses val="autoZero"/>
        <c:auto val="1"/>
        <c:lblAlgn val="ctr"/>
        <c:lblOffset val="100"/>
        <c:noMultiLvlLbl val="0"/>
      </c:catAx>
      <c:valAx>
        <c:axId val="1164556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454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15/14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06'!$B$10,'DCap 06'!$B$11)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06'!$M$10,'DCap 06'!$M$11)</c:f>
              <c:numCache>
                <c:formatCode>0.0%</c:formatCode>
                <c:ptCount val="2"/>
                <c:pt idx="0">
                  <c:v>-0.43440564862289244</c:v>
                </c:pt>
                <c:pt idx="1">
                  <c:v>-0.66685869177873003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16488832"/>
        <c:axId val="116502912"/>
      </c:barChart>
      <c:catAx>
        <c:axId val="116488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16502912"/>
        <c:crosses val="autoZero"/>
        <c:auto val="1"/>
        <c:lblAlgn val="ctr"/>
        <c:lblOffset val="100"/>
        <c:noMultiLvlLbl val="0"/>
      </c:catAx>
      <c:valAx>
        <c:axId val="1165029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1648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15/14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2"/>
              <c:layout>
                <c:manualLayout>
                  <c:x val="-5.0925337632079971E-17"/>
                  <c:y val="0.148148148148148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7778088022685108E-3"/>
                  <c:y val="1.37934885798853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(IDetallCorrent!$B$11,IDetallCorrent!$B$14,IDetallCorrent!$B$37,IDetallCorrent!$B$60,IDetallCorrent!$B$67,IDetallCorrent!$B$68)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(IDetallCorrent!$K$11,IDetallCorrent!$K$14,IDetallCorrent!$K$37,IDetallCorrent!$K$60,IDetallCorrent!$K$67,IDetallCorrent!$K$68)</c:f>
              <c:numCache>
                <c:formatCode>0.0%</c:formatCode>
                <c:ptCount val="6"/>
                <c:pt idx="0">
                  <c:v>0.1041767568676375</c:v>
                </c:pt>
                <c:pt idx="1">
                  <c:v>1.9985091555602574E-2</c:v>
                </c:pt>
                <c:pt idx="2">
                  <c:v>0.10974054186675875</c:v>
                </c:pt>
                <c:pt idx="3">
                  <c:v>1.1004517672659144</c:v>
                </c:pt>
                <c:pt idx="4">
                  <c:v>0.3517982123575274</c:v>
                </c:pt>
                <c:pt idx="5">
                  <c:v>0.10052302335845398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69920"/>
        <c:axId val="101972992"/>
      </c:barChart>
      <c:catAx>
        <c:axId val="1019699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101972992"/>
        <c:crosses val="autoZero"/>
        <c:auto val="1"/>
        <c:lblAlgn val="ctr"/>
        <c:lblOffset val="100"/>
        <c:noMultiLvlLbl val="0"/>
      </c:catAx>
      <c:valAx>
        <c:axId val="1019729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969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9.5720436930091193</c:v>
                </c:pt>
                <c:pt idx="1">
                  <c:v>0.45973408554990303</c:v>
                </c:pt>
                <c:pt idx="2">
                  <c:v>0.55578295009169232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993088"/>
        <c:axId val="102266752"/>
      </c:barChart>
      <c:catAx>
        <c:axId val="10199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102266752"/>
        <c:crosses val="autoZero"/>
        <c:auto val="1"/>
        <c:lblAlgn val="ctr"/>
        <c:lblOffset val="100"/>
        <c:noMultiLvlLbl val="0"/>
      </c:catAx>
      <c:valAx>
        <c:axId val="1022667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0199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0</xdr:rowOff>
    </xdr:from>
    <xdr:to>
      <xdr:col>4</xdr:col>
      <xdr:colOff>676275</xdr:colOff>
      <xdr:row>17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4</xdr:row>
      <xdr:rowOff>1</xdr:rowOff>
    </xdr:from>
    <xdr:to>
      <xdr:col>13</xdr:col>
      <xdr:colOff>66675</xdr:colOff>
      <xdr:row>17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18</xdr:row>
      <xdr:rowOff>152401</xdr:rowOff>
    </xdr:from>
    <xdr:to>
      <xdr:col>4</xdr:col>
      <xdr:colOff>676276</xdr:colOff>
      <xdr:row>34</xdr:row>
      <xdr:rowOff>38101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18</xdr:row>
      <xdr:rowOff>152401</xdr:rowOff>
    </xdr:from>
    <xdr:to>
      <xdr:col>13</xdr:col>
      <xdr:colOff>57151</xdr:colOff>
      <xdr:row>34</xdr:row>
      <xdr:rowOff>38101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133350</xdr:rowOff>
    </xdr:from>
    <xdr:to>
      <xdr:col>6</xdr:col>
      <xdr:colOff>419100</xdr:colOff>
      <xdr:row>16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2</xdr:row>
      <xdr:rowOff>133350</xdr:rowOff>
    </xdr:from>
    <xdr:to>
      <xdr:col>13</xdr:col>
      <xdr:colOff>314325</xdr:colOff>
      <xdr:row>16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19</xdr:row>
      <xdr:rowOff>76200</xdr:rowOff>
    </xdr:from>
    <xdr:to>
      <xdr:col>6</xdr:col>
      <xdr:colOff>409575</xdr:colOff>
      <xdr:row>33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19</xdr:row>
      <xdr:rowOff>85725</xdr:rowOff>
    </xdr:from>
    <xdr:to>
      <xdr:col>13</xdr:col>
      <xdr:colOff>314325</xdr:colOff>
      <xdr:row>33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2</xdr:row>
      <xdr:rowOff>85725</xdr:rowOff>
    </xdr:from>
    <xdr:to>
      <xdr:col>12</xdr:col>
      <xdr:colOff>28575</xdr:colOff>
      <xdr:row>14</xdr:row>
      <xdr:rowOff>66675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28575</xdr:rowOff>
    </xdr:from>
    <xdr:to>
      <xdr:col>5</xdr:col>
      <xdr:colOff>228600</xdr:colOff>
      <xdr:row>33</xdr:row>
      <xdr:rowOff>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32</xdr:row>
      <xdr:rowOff>163925</xdr:rowOff>
    </xdr:from>
    <xdr:to>
      <xdr:col>6</xdr:col>
      <xdr:colOff>170968</xdr:colOff>
      <xdr:row>34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32</xdr:row>
      <xdr:rowOff>163926</xdr:rowOff>
    </xdr:from>
    <xdr:to>
      <xdr:col>12</xdr:col>
      <xdr:colOff>1586593</xdr:colOff>
      <xdr:row>34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19"/>
  <sheetViews>
    <sheetView zoomScaleNormal="100" workbookViewId="0">
      <selection activeCell="K8" sqref="K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7109375" bestFit="1" customWidth="1"/>
    <col min="4" max="4" width="14" bestFit="1" customWidth="1"/>
    <col min="5" max="5" width="15.140625" bestFit="1" customWidth="1"/>
    <col min="6" max="8" width="14" bestFit="1" customWidth="1"/>
    <col min="9" max="9" width="13.42578125" bestFit="1" customWidth="1"/>
    <col min="10" max="10" width="8" bestFit="1" customWidth="1"/>
    <col min="12" max="12" width="6.28515625" customWidth="1"/>
  </cols>
  <sheetData>
    <row r="1" spans="1:13" ht="15.75" thickBot="1" x14ac:dyDescent="0.3">
      <c r="A1" s="7" t="s">
        <v>399</v>
      </c>
    </row>
    <row r="2" spans="1:13" x14ac:dyDescent="0.2">
      <c r="A2" s="8" t="s">
        <v>400</v>
      </c>
      <c r="H2" s="578" t="s">
        <v>550</v>
      </c>
      <c r="I2" s="579"/>
      <c r="J2" s="580"/>
    </row>
    <row r="3" spans="1:13" ht="22.5" x14ac:dyDescent="0.2">
      <c r="C3" s="14"/>
      <c r="D3" s="14"/>
      <c r="E3" s="14"/>
      <c r="F3" s="145"/>
      <c r="G3" s="14"/>
      <c r="H3" s="116"/>
      <c r="I3" s="146"/>
      <c r="J3" s="117" t="s">
        <v>516</v>
      </c>
    </row>
    <row r="4" spans="1:13" x14ac:dyDescent="0.2">
      <c r="A4" s="1"/>
      <c r="B4" s="2" t="s">
        <v>401</v>
      </c>
      <c r="C4" s="3" t="s">
        <v>513</v>
      </c>
      <c r="D4" s="3" t="s">
        <v>433</v>
      </c>
      <c r="E4" s="3" t="s">
        <v>514</v>
      </c>
      <c r="F4" s="3" t="s">
        <v>457</v>
      </c>
      <c r="G4" s="3" t="s">
        <v>479</v>
      </c>
      <c r="H4" s="11" t="s">
        <v>515</v>
      </c>
      <c r="I4" s="97" t="s">
        <v>457</v>
      </c>
      <c r="J4" s="12" t="s">
        <v>18</v>
      </c>
    </row>
    <row r="5" spans="1:13" x14ac:dyDescent="0.2">
      <c r="A5" s="6"/>
      <c r="B5" s="6" t="s">
        <v>205</v>
      </c>
      <c r="C5" s="118">
        <v>2075269286.7199998</v>
      </c>
      <c r="D5" s="118">
        <v>2430506527.5099998</v>
      </c>
      <c r="E5" s="118">
        <v>2313220529.2600002</v>
      </c>
      <c r="F5" s="118">
        <v>2648823066.1900001</v>
      </c>
      <c r="G5" s="118">
        <v>2354409500.5</v>
      </c>
      <c r="H5" s="119">
        <f>'ICap '!G10</f>
        <v>2196107911.3299999</v>
      </c>
      <c r="I5" s="120">
        <f>'ICap '!L10</f>
        <v>1995512919.51</v>
      </c>
      <c r="J5" s="61">
        <f t="shared" ref="J5:J13" si="0">+H5/I5-1</f>
        <v>0.10052302335845376</v>
      </c>
    </row>
    <row r="6" spans="1:13" x14ac:dyDescent="0.2">
      <c r="A6" s="6"/>
      <c r="B6" s="6" t="s">
        <v>292</v>
      </c>
      <c r="C6" s="118">
        <v>1811995732.4200001</v>
      </c>
      <c r="D6" s="118">
        <v>1838420398.8499999</v>
      </c>
      <c r="E6" s="118">
        <v>1899831248.1999998</v>
      </c>
      <c r="F6" s="118">
        <v>1885498459.3</v>
      </c>
      <c r="G6" s="118">
        <v>1996110606.45</v>
      </c>
      <c r="H6" s="119">
        <f>DCap!K10</f>
        <v>1684240737.4200001</v>
      </c>
      <c r="I6" s="120">
        <f>DCap!N10</f>
        <v>1593100430</v>
      </c>
      <c r="J6" s="61">
        <f t="shared" si="0"/>
        <v>5.7209392266625692E-2</v>
      </c>
    </row>
    <row r="7" spans="1:13" x14ac:dyDescent="0.2">
      <c r="A7" s="9"/>
      <c r="B7" s="2" t="s">
        <v>402</v>
      </c>
      <c r="C7" s="121">
        <f>+C5-C6</f>
        <v>263273554.29999971</v>
      </c>
      <c r="D7" s="121">
        <f>+D5-D6</f>
        <v>592086128.65999985</v>
      </c>
      <c r="E7" s="121">
        <f>+E5-E6</f>
        <v>413389281.06000042</v>
      </c>
      <c r="F7" s="121">
        <f>+F5-F6</f>
        <v>763324606.8900001</v>
      </c>
      <c r="G7" s="121">
        <f>+G5-G6</f>
        <v>358298894.04999995</v>
      </c>
      <c r="H7" s="122">
        <f t="shared" ref="H7:I7" si="1">+H5-H6</f>
        <v>511867173.90999985</v>
      </c>
      <c r="I7" s="123">
        <f t="shared" si="1"/>
        <v>402412489.50999999</v>
      </c>
      <c r="J7" s="44">
        <f t="shared" si="0"/>
        <v>0.27199624080574147</v>
      </c>
    </row>
    <row r="8" spans="1:13" x14ac:dyDescent="0.2">
      <c r="A8" s="6"/>
      <c r="B8" s="6" t="s">
        <v>403</v>
      </c>
      <c r="C8" s="118">
        <v>6000200</v>
      </c>
      <c r="D8" s="118">
        <v>28408197.229999997</v>
      </c>
      <c r="E8" s="118">
        <v>23479180</v>
      </c>
      <c r="F8" s="118">
        <v>48611906.079999998</v>
      </c>
      <c r="G8" s="118">
        <v>29606729</v>
      </c>
      <c r="H8" s="119">
        <f>'ICap '!G13</f>
        <v>26368227.539999999</v>
      </c>
      <c r="I8" s="120">
        <f>'ICap '!L13</f>
        <v>20739714.09</v>
      </c>
      <c r="J8" s="61">
        <f t="shared" si="0"/>
        <v>0.27138818913197471</v>
      </c>
      <c r="M8" s="530"/>
    </row>
    <row r="9" spans="1:13" x14ac:dyDescent="0.2">
      <c r="A9" s="6"/>
      <c r="B9" s="6" t="s">
        <v>404</v>
      </c>
      <c r="C9" s="118">
        <v>151630998.19</v>
      </c>
      <c r="D9" s="118">
        <v>334091750.25</v>
      </c>
      <c r="E9" s="118">
        <v>426289690.11000001</v>
      </c>
      <c r="F9" s="118">
        <v>613191186.36000001</v>
      </c>
      <c r="G9" s="118">
        <v>373850342.10000002</v>
      </c>
      <c r="H9" s="119">
        <f>DCap!K13</f>
        <v>322130021.74000001</v>
      </c>
      <c r="I9" s="120">
        <f>DCap!N13</f>
        <v>322393772.52999997</v>
      </c>
      <c r="J9" s="61">
        <f t="shared" si="0"/>
        <v>-8.1810137934790195E-4</v>
      </c>
    </row>
    <row r="10" spans="1:13" x14ac:dyDescent="0.2">
      <c r="A10" s="9"/>
      <c r="B10" s="2" t="s">
        <v>405</v>
      </c>
      <c r="C10" s="121">
        <f t="shared" ref="C10:I10" si="2">+C7+C8-C9</f>
        <v>117642756.10999972</v>
      </c>
      <c r="D10" s="121">
        <f t="shared" si="2"/>
        <v>286402575.63999987</v>
      </c>
      <c r="E10" s="121">
        <f>+E7+E8-E9</f>
        <v>10578770.950000405</v>
      </c>
      <c r="F10" s="121">
        <f t="shared" si="2"/>
        <v>198745326.61000013</v>
      </c>
      <c r="G10" s="121">
        <f>+G7+G8-G9</f>
        <v>14055280.949999928</v>
      </c>
      <c r="H10" s="122">
        <f t="shared" si="2"/>
        <v>216105379.7099998</v>
      </c>
      <c r="I10" s="123">
        <f t="shared" si="2"/>
        <v>100758431.06999999</v>
      </c>
      <c r="J10" s="44">
        <f t="shared" si="0"/>
        <v>1.1447870656090777</v>
      </c>
    </row>
    <row r="11" spans="1:13" x14ac:dyDescent="0.2">
      <c r="A11" s="6"/>
      <c r="B11" s="6" t="s">
        <v>206</v>
      </c>
      <c r="C11" s="118">
        <v>1232200</v>
      </c>
      <c r="D11" s="118">
        <v>41248296.100000001</v>
      </c>
      <c r="E11" s="118">
        <v>237300010</v>
      </c>
      <c r="F11" s="118">
        <v>1753884.59</v>
      </c>
      <c r="G11" s="118">
        <v>166550000</v>
      </c>
      <c r="H11" s="119">
        <f>'ICap '!G16</f>
        <v>6695504.5700000003</v>
      </c>
      <c r="I11" s="120">
        <f>+'ICap '!L16</f>
        <v>1682249.64</v>
      </c>
      <c r="J11" s="61">
        <f t="shared" si="0"/>
        <v>2.980089762420755</v>
      </c>
    </row>
    <row r="12" spans="1:13" ht="13.5" thickBot="1" x14ac:dyDescent="0.25">
      <c r="A12" s="6"/>
      <c r="B12" s="6" t="s">
        <v>2</v>
      </c>
      <c r="C12" s="118">
        <v>98971840.909999996</v>
      </c>
      <c r="D12" s="118">
        <v>112759752.78999999</v>
      </c>
      <c r="E12" s="118">
        <v>247878780.94999999</v>
      </c>
      <c r="F12" s="118">
        <v>148301777.84</v>
      </c>
      <c r="G12" s="118">
        <v>180605280.94999999</v>
      </c>
      <c r="H12" s="119">
        <f>+DCap!K16</f>
        <v>174689516.62</v>
      </c>
      <c r="I12" s="120">
        <f>DCap!N16</f>
        <v>145516899.25999999</v>
      </c>
      <c r="J12" s="292">
        <f t="shared" si="0"/>
        <v>0.20047580389873687</v>
      </c>
    </row>
    <row r="13" spans="1:13" ht="13.5" thickBot="1" x14ac:dyDescent="0.25">
      <c r="A13" s="5"/>
      <c r="B13" s="4" t="s">
        <v>406</v>
      </c>
      <c r="C13" s="124">
        <f t="shared" ref="C13:I13" si="3">+C10+C11-C12</f>
        <v>19903115.19999972</v>
      </c>
      <c r="D13" s="124">
        <f t="shared" si="3"/>
        <v>214891118.9499999</v>
      </c>
      <c r="E13" s="124">
        <f t="shared" si="3"/>
        <v>4.1723251342773438E-7</v>
      </c>
      <c r="F13" s="124">
        <f t="shared" si="3"/>
        <v>52197433.360000134</v>
      </c>
      <c r="G13" s="124">
        <f t="shared" si="3"/>
        <v>0</v>
      </c>
      <c r="H13" s="125">
        <f t="shared" si="3"/>
        <v>48111367.659999788</v>
      </c>
      <c r="I13" s="126">
        <f t="shared" si="3"/>
        <v>-43076218.549999997</v>
      </c>
      <c r="J13" s="284">
        <f t="shared" si="0"/>
        <v>-2.1168893017885342</v>
      </c>
    </row>
    <row r="14" spans="1:13" ht="13.5" thickBot="1" x14ac:dyDescent="0.25"/>
    <row r="15" spans="1:13" x14ac:dyDescent="0.2">
      <c r="H15" s="581" t="s">
        <v>550</v>
      </c>
      <c r="I15" s="582"/>
    </row>
    <row r="16" spans="1:13" x14ac:dyDescent="0.2">
      <c r="A16" s="1"/>
      <c r="B16" s="2" t="s">
        <v>407</v>
      </c>
      <c r="C16" s="3" t="s">
        <v>459</v>
      </c>
      <c r="D16" s="3" t="s">
        <v>433</v>
      </c>
      <c r="E16" s="3" t="s">
        <v>460</v>
      </c>
      <c r="F16" s="3" t="s">
        <v>457</v>
      </c>
      <c r="G16" s="3" t="s">
        <v>479</v>
      </c>
      <c r="H16" s="127" t="s">
        <v>515</v>
      </c>
      <c r="I16" s="128" t="s">
        <v>457</v>
      </c>
    </row>
    <row r="17" spans="1:11" x14ac:dyDescent="0.2">
      <c r="B17" t="s">
        <v>408</v>
      </c>
      <c r="C17" s="129">
        <f t="shared" ref="C17:I17" si="4">+C7/C5</f>
        <v>0.12686235756715133</v>
      </c>
      <c r="D17" s="129">
        <f t="shared" si="4"/>
        <v>0.24360606398641479</v>
      </c>
      <c r="E17" s="129">
        <f t="shared" si="4"/>
        <v>0.17870725070568336</v>
      </c>
      <c r="F17" s="129">
        <f t="shared" si="4"/>
        <v>0.28817500747150576</v>
      </c>
      <c r="G17" s="129">
        <f t="shared" si="4"/>
        <v>0.15218206262500594</v>
      </c>
      <c r="H17" s="130">
        <f t="shared" si="4"/>
        <v>0.23307924499939736</v>
      </c>
      <c r="I17" s="131">
        <f t="shared" si="4"/>
        <v>0.20165867410611038</v>
      </c>
      <c r="K17" s="109" t="s">
        <v>148</v>
      </c>
    </row>
    <row r="18" spans="1:11" ht="37.5" thickBot="1" x14ac:dyDescent="0.25">
      <c r="A18" s="6"/>
      <c r="B18" s="132" t="s">
        <v>409</v>
      </c>
      <c r="C18" s="133">
        <f>+C10/(C5+C8)</f>
        <v>5.6524518742356693E-2</v>
      </c>
      <c r="D18" s="133">
        <f>+D10/(D5+D8)</f>
        <v>0.11647519645899207</v>
      </c>
      <c r="E18" s="133">
        <f>+E10/(E5+E8)</f>
        <v>4.5272274002852303E-3</v>
      </c>
      <c r="F18" s="133">
        <f>+F10/(F5+F8)</f>
        <v>7.367937639021116E-2</v>
      </c>
      <c r="G18" s="133">
        <f>+G10/(G5+G8)</f>
        <v>5.895631403880058E-3</v>
      </c>
      <c r="H18" s="134">
        <f t="shared" ref="H18:I18" si="5">+H10/(H5+H8)</f>
        <v>9.7236310406408608E-2</v>
      </c>
      <c r="I18" s="135">
        <f t="shared" si="5"/>
        <v>4.9973118145466115E-2</v>
      </c>
      <c r="J18" s="6"/>
    </row>
    <row r="19" spans="1:11" x14ac:dyDescent="0.2">
      <c r="A19" s="136"/>
      <c r="B19" s="136"/>
      <c r="C19" s="136"/>
      <c r="D19" s="136"/>
      <c r="E19" s="136"/>
      <c r="F19" s="136"/>
      <c r="G19" s="136"/>
      <c r="H19" s="136"/>
      <c r="I19" s="136"/>
    </row>
  </sheetData>
  <mergeCells count="2">
    <mergeCell ref="H2:J2"/>
    <mergeCell ref="H15:I15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P216"/>
  <sheetViews>
    <sheetView topLeftCell="A97" zoomScale="85" zoomScaleNormal="85" workbookViewId="0">
      <selection activeCell="L127" sqref="L127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2.7109375" bestFit="1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2.42578125" bestFit="1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1" spans="1:16" ht="15.75" thickBot="1" x14ac:dyDescent="0.3">
      <c r="A1" s="7" t="s">
        <v>233</v>
      </c>
    </row>
    <row r="2" spans="1:16" x14ac:dyDescent="0.2">
      <c r="A2" s="8" t="s">
        <v>291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603" t="s">
        <v>552</v>
      </c>
      <c r="L2" s="604"/>
      <c r="M2" s="425"/>
    </row>
    <row r="3" spans="1:16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96" t="s">
        <v>37</v>
      </c>
      <c r="I3" s="95">
        <v>5</v>
      </c>
      <c r="J3" s="166" t="s">
        <v>38</v>
      </c>
      <c r="K3" s="165" t="s">
        <v>39</v>
      </c>
      <c r="L3" s="16" t="s">
        <v>40</v>
      </c>
      <c r="M3" s="426" t="s">
        <v>362</v>
      </c>
    </row>
    <row r="4" spans="1:16" ht="25.5" x14ac:dyDescent="0.2">
      <c r="A4" s="1"/>
      <c r="B4" s="2" t="s">
        <v>150</v>
      </c>
      <c r="C4" s="175" t="s">
        <v>13</v>
      </c>
      <c r="D4" s="127" t="s">
        <v>350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516</v>
      </c>
      <c r="N4" s="62" t="s">
        <v>163</v>
      </c>
    </row>
    <row r="5" spans="1:16" ht="15" customHeight="1" x14ac:dyDescent="0.2">
      <c r="A5" s="21"/>
      <c r="B5" s="21" t="s">
        <v>234</v>
      </c>
      <c r="C5" s="210">
        <v>14925213.640000001</v>
      </c>
      <c r="D5" s="215">
        <v>15814043.43</v>
      </c>
      <c r="E5" s="268">
        <v>12817070.789999999</v>
      </c>
      <c r="F5" s="349">
        <f t="shared" ref="F5:F12" si="0">+E5/D5</f>
        <v>0.8104866315015552</v>
      </c>
      <c r="G5" s="268">
        <v>12817070.789999999</v>
      </c>
      <c r="H5" s="49">
        <f>+G5/D5</f>
        <v>0.8104866315015552</v>
      </c>
      <c r="I5" s="268">
        <v>12817070.789999999</v>
      </c>
      <c r="J5" s="170">
        <f>I5/D5</f>
        <v>0.8104866315015552</v>
      </c>
      <c r="K5" s="31">
        <v>13518224.470000001</v>
      </c>
      <c r="L5" s="53">
        <v>0.87783279212779641</v>
      </c>
      <c r="M5" s="158">
        <f>+I5/K5-1</f>
        <v>-5.1867290823289669E-2</v>
      </c>
      <c r="N5" s="63">
        <v>10</v>
      </c>
    </row>
    <row r="6" spans="1:16" ht="15" customHeight="1" x14ac:dyDescent="0.2">
      <c r="A6" s="23"/>
      <c r="B6" s="23" t="s">
        <v>235</v>
      </c>
      <c r="C6" s="210">
        <v>7647590.8899999997</v>
      </c>
      <c r="D6" s="215">
        <v>7751889.4900000002</v>
      </c>
      <c r="E6" s="268">
        <v>6876843.6699999999</v>
      </c>
      <c r="F6" s="321">
        <f t="shared" si="0"/>
        <v>0.88711838305630952</v>
      </c>
      <c r="G6" s="268">
        <v>6876843.6699999999</v>
      </c>
      <c r="H6" s="321">
        <f t="shared" ref="H6:H61" si="1">+G6/D6</f>
        <v>0.88711838305630952</v>
      </c>
      <c r="I6" s="268">
        <v>6876843.6699999999</v>
      </c>
      <c r="J6" s="196">
        <f t="shared" ref="J6:J61" si="2">I6/D6</f>
        <v>0.88711838305630952</v>
      </c>
      <c r="K6" s="33">
        <v>6724229.1900000004</v>
      </c>
      <c r="L6" s="55">
        <v>0.88108328915378864</v>
      </c>
      <c r="M6" s="159">
        <f>+I6/K6-1</f>
        <v>2.2696204380862284E-2</v>
      </c>
      <c r="N6" s="64">
        <v>11</v>
      </c>
    </row>
    <row r="7" spans="1:16" ht="15" customHeight="1" x14ac:dyDescent="0.2">
      <c r="A7" s="23"/>
      <c r="B7" s="23" t="s">
        <v>236</v>
      </c>
      <c r="C7" s="210">
        <v>211435284.93000001</v>
      </c>
      <c r="D7" s="215">
        <v>214517305.84999999</v>
      </c>
      <c r="E7" s="268">
        <v>180541727.53999999</v>
      </c>
      <c r="F7" s="321">
        <f t="shared" si="0"/>
        <v>0.84161847373863052</v>
      </c>
      <c r="G7" s="268">
        <v>180541727.53999999</v>
      </c>
      <c r="H7" s="321">
        <f t="shared" si="1"/>
        <v>0.84161847373863052</v>
      </c>
      <c r="I7" s="268">
        <v>180541727.53999999</v>
      </c>
      <c r="J7" s="196">
        <f t="shared" si="2"/>
        <v>0.84161847373863052</v>
      </c>
      <c r="K7" s="33">
        <v>181184927.78999999</v>
      </c>
      <c r="L7" s="55">
        <v>0.87461535086035513</v>
      </c>
      <c r="M7" s="159">
        <f>+I7/K7-1</f>
        <v>-3.5499655398791852E-3</v>
      </c>
      <c r="N7" s="64">
        <v>12</v>
      </c>
    </row>
    <row r="8" spans="1:16" ht="15" customHeight="1" x14ac:dyDescent="0.2">
      <c r="A8" s="23"/>
      <c r="B8" s="23" t="s">
        <v>237</v>
      </c>
      <c r="C8" s="210">
        <v>9078946.1799999997</v>
      </c>
      <c r="D8" s="215">
        <v>9471885.4499999993</v>
      </c>
      <c r="E8" s="268">
        <v>7391252.7599999998</v>
      </c>
      <c r="F8" s="321">
        <f>+E8/D8</f>
        <v>0.78033595307046288</v>
      </c>
      <c r="G8" s="268">
        <v>7391252.7599999998</v>
      </c>
      <c r="H8" s="321">
        <f>+G8/D8</f>
        <v>0.78033595307046288</v>
      </c>
      <c r="I8" s="268">
        <v>7391252.7599999998</v>
      </c>
      <c r="J8" s="196">
        <f>I8/D8</f>
        <v>0.78033595307046288</v>
      </c>
      <c r="K8" s="33">
        <v>8087282.4000000004</v>
      </c>
      <c r="L8" s="55">
        <v>0.87457695452818462</v>
      </c>
      <c r="M8" s="269">
        <f>+I8/K8-1</f>
        <v>-8.6064713160010409E-2</v>
      </c>
      <c r="N8" s="64">
        <v>13</v>
      </c>
    </row>
    <row r="9" spans="1:16" ht="15" customHeight="1" x14ac:dyDescent="0.2">
      <c r="A9" s="25"/>
      <c r="B9" s="25" t="s">
        <v>239</v>
      </c>
      <c r="C9" s="210">
        <v>33397253.91</v>
      </c>
      <c r="D9" s="215">
        <v>30881993.010000002</v>
      </c>
      <c r="E9" s="268">
        <v>28007785.649999999</v>
      </c>
      <c r="F9" s="321">
        <f>+E9/D9</f>
        <v>0.90692934361233435</v>
      </c>
      <c r="G9" s="268">
        <v>28007785.649999999</v>
      </c>
      <c r="H9" s="321">
        <f>+G9/D9</f>
        <v>0.90692934361233435</v>
      </c>
      <c r="I9" s="268">
        <v>28007785.649999999</v>
      </c>
      <c r="J9" s="196">
        <f>I9/D9</f>
        <v>0.90692934361233435</v>
      </c>
      <c r="K9" s="35">
        <v>24417805.120000001</v>
      </c>
      <c r="L9" s="375">
        <v>0.85254389552783261</v>
      </c>
      <c r="M9" s="183">
        <f t="shared" ref="M9:M55" si="3">+I9/K9-1</f>
        <v>0.14702306420897493</v>
      </c>
      <c r="N9" s="64">
        <v>15</v>
      </c>
      <c r="O9" s="416"/>
      <c r="P9" s="416"/>
    </row>
    <row r="10" spans="1:16" ht="15" customHeight="1" x14ac:dyDescent="0.2">
      <c r="A10" s="25"/>
      <c r="B10" s="25" t="s">
        <v>238</v>
      </c>
      <c r="C10" s="210">
        <v>79302175</v>
      </c>
      <c r="D10" s="215">
        <v>81830430.120000005</v>
      </c>
      <c r="E10" s="268">
        <v>74144681.819999993</v>
      </c>
      <c r="F10" s="456">
        <f>+E10/D10</f>
        <v>0.90607713672371915</v>
      </c>
      <c r="G10" s="268">
        <v>73753597.969999999</v>
      </c>
      <c r="H10" s="456">
        <f>+G10/D10</f>
        <v>0.90129793845448747</v>
      </c>
      <c r="I10" s="268">
        <v>73627246.980000004</v>
      </c>
      <c r="J10" s="458">
        <f>I10/D10</f>
        <v>0.89975387972456622</v>
      </c>
      <c r="K10" s="35">
        <v>72957594.950000003</v>
      </c>
      <c r="L10" s="375">
        <v>0.91116000014496124</v>
      </c>
      <c r="M10" s="160">
        <f t="shared" si="3"/>
        <v>9.1786472739259217E-3</v>
      </c>
      <c r="N10" s="64">
        <v>16</v>
      </c>
    </row>
    <row r="11" spans="1:16" ht="15" customHeight="1" x14ac:dyDescent="0.2">
      <c r="A11" s="9"/>
      <c r="B11" s="2" t="s">
        <v>0</v>
      </c>
      <c r="C11" s="179">
        <f>SUM(C5:C10)</f>
        <v>355786464.55000001</v>
      </c>
      <c r="D11" s="169">
        <f>SUM(D5:D10)</f>
        <v>360267547.34999996</v>
      </c>
      <c r="E11" s="92">
        <f>SUM(E5:E10)</f>
        <v>309779362.23000002</v>
      </c>
      <c r="F11" s="98">
        <f t="shared" si="0"/>
        <v>0.85985919217155948</v>
      </c>
      <c r="G11" s="92">
        <f>SUM(G5:G10)</f>
        <v>309388278.38</v>
      </c>
      <c r="H11" s="98">
        <f t="shared" si="1"/>
        <v>0.8587736549010595</v>
      </c>
      <c r="I11" s="92">
        <f>SUM(I5:I10)</f>
        <v>309261927.38999999</v>
      </c>
      <c r="J11" s="188">
        <f t="shared" si="2"/>
        <v>0.85842294057519419</v>
      </c>
      <c r="K11" s="92">
        <f>SUM(K5:K10)</f>
        <v>306890063.92000002</v>
      </c>
      <c r="L11" s="44">
        <v>0.88100000000000001</v>
      </c>
      <c r="M11" s="161">
        <f t="shared" si="3"/>
        <v>7.7287072761609288E-3</v>
      </c>
      <c r="N11" s="64">
        <v>1</v>
      </c>
    </row>
    <row r="12" spans="1:16" ht="15" customHeight="1" x14ac:dyDescent="0.2">
      <c r="A12" s="21"/>
      <c r="B12" s="21" t="s">
        <v>243</v>
      </c>
      <c r="C12" s="267">
        <v>22568354.18</v>
      </c>
      <c r="D12" s="215">
        <v>21723525.329999998</v>
      </c>
      <c r="E12" s="268">
        <v>21508862.809999999</v>
      </c>
      <c r="F12" s="49">
        <f t="shared" si="0"/>
        <v>0.99011843074551287</v>
      </c>
      <c r="G12" s="268">
        <v>21348618.059999999</v>
      </c>
      <c r="H12" s="49">
        <f t="shared" si="1"/>
        <v>0.9827418770984534</v>
      </c>
      <c r="I12" s="76">
        <v>19576095.539999999</v>
      </c>
      <c r="J12" s="170">
        <f t="shared" si="2"/>
        <v>0.90114726972815884</v>
      </c>
      <c r="K12" s="153">
        <v>19539724.489999998</v>
      </c>
      <c r="L12" s="53">
        <v>0.88623893366663387</v>
      </c>
      <c r="M12" s="158">
        <f t="shared" si="3"/>
        <v>1.8613901142063849E-3</v>
      </c>
      <c r="N12" s="63">
        <v>20</v>
      </c>
    </row>
    <row r="13" spans="1:16" ht="15" customHeight="1" x14ac:dyDescent="0.2">
      <c r="A13" s="266"/>
      <c r="B13" s="266" t="s">
        <v>244</v>
      </c>
      <c r="C13" s="267">
        <v>18088653.18</v>
      </c>
      <c r="D13" s="215">
        <v>20088201.260000002</v>
      </c>
      <c r="E13" s="268">
        <v>19277828.629999999</v>
      </c>
      <c r="F13" s="492">
        <f t="shared" ref="F13:F55" si="4">+E13/D13</f>
        <v>0.9596592736446925</v>
      </c>
      <c r="G13" s="268">
        <v>18179023.629999999</v>
      </c>
      <c r="H13" s="492">
        <f t="shared" si="1"/>
        <v>0.90496024978594813</v>
      </c>
      <c r="I13" s="76">
        <v>10942005.99</v>
      </c>
      <c r="J13" s="508">
        <f t="shared" si="2"/>
        <v>0.54469814635857539</v>
      </c>
      <c r="K13" s="153">
        <v>9501201.0099999998</v>
      </c>
      <c r="L13" s="394">
        <v>0.6156312542881518</v>
      </c>
      <c r="M13" s="269">
        <f t="shared" si="3"/>
        <v>0.15164451088694531</v>
      </c>
      <c r="N13" s="63">
        <v>21</v>
      </c>
    </row>
    <row r="14" spans="1:16" ht="15" customHeight="1" x14ac:dyDescent="0.2">
      <c r="A14" s="65"/>
      <c r="B14" s="65" t="s">
        <v>245</v>
      </c>
      <c r="C14" s="211">
        <v>1505977.68</v>
      </c>
      <c r="D14" s="216">
        <v>1739450.98</v>
      </c>
      <c r="E14" s="78">
        <v>1629674.03</v>
      </c>
      <c r="F14" s="493">
        <f t="shared" si="4"/>
        <v>0.93688988579603438</v>
      </c>
      <c r="G14" s="78">
        <v>1369588.4</v>
      </c>
      <c r="H14" s="493">
        <f t="shared" si="1"/>
        <v>0.78736820740990354</v>
      </c>
      <c r="I14" s="78">
        <v>1201346.1200000001</v>
      </c>
      <c r="J14" s="509">
        <f t="shared" si="2"/>
        <v>0.69064672348513101</v>
      </c>
      <c r="K14" s="66">
        <v>1164383.93</v>
      </c>
      <c r="L14" s="407">
        <v>0.68859727263223203</v>
      </c>
      <c r="M14" s="182">
        <f t="shared" si="3"/>
        <v>3.1743988428284187E-2</v>
      </c>
      <c r="N14" s="63">
        <v>220</v>
      </c>
    </row>
    <row r="15" spans="1:16" ht="15" customHeight="1" x14ac:dyDescent="0.2">
      <c r="A15" s="73"/>
      <c r="B15" s="73" t="s">
        <v>247</v>
      </c>
      <c r="C15" s="212">
        <v>10857573.289999999</v>
      </c>
      <c r="D15" s="217">
        <v>10873488.48</v>
      </c>
      <c r="E15" s="90">
        <v>9754075.7799999993</v>
      </c>
      <c r="F15" s="494">
        <f t="shared" si="4"/>
        <v>0.89705118995996758</v>
      </c>
      <c r="G15" s="90">
        <v>9733885.7200000007</v>
      </c>
      <c r="H15" s="494">
        <f t="shared" si="1"/>
        <v>0.89519437463918661</v>
      </c>
      <c r="I15" s="90">
        <v>7209763.5300000003</v>
      </c>
      <c r="J15" s="510">
        <f t="shared" si="2"/>
        <v>0.66305892016726542</v>
      </c>
      <c r="K15" s="74">
        <v>6882914.9800000004</v>
      </c>
      <c r="L15" s="79">
        <v>0.59744049303742086</v>
      </c>
      <c r="M15" s="269">
        <f t="shared" si="3"/>
        <v>4.7486936995406515E-2</v>
      </c>
      <c r="N15" s="63">
        <v>22100</v>
      </c>
    </row>
    <row r="16" spans="1:16" ht="15" customHeight="1" x14ac:dyDescent="0.2">
      <c r="A16" s="75"/>
      <c r="B16" s="75" t="s">
        <v>249</v>
      </c>
      <c r="C16" s="267">
        <v>1153400</v>
      </c>
      <c r="D16" s="215">
        <v>1062169.21</v>
      </c>
      <c r="E16" s="268">
        <v>1047291.01</v>
      </c>
      <c r="F16" s="147">
        <f>+E16/D16</f>
        <v>0.98599262729523107</v>
      </c>
      <c r="G16" s="268">
        <v>999039.46</v>
      </c>
      <c r="H16" s="147">
        <f>+G16/D16</f>
        <v>0.94056526078363734</v>
      </c>
      <c r="I16" s="76">
        <v>847900.16000000003</v>
      </c>
      <c r="J16" s="221">
        <f>I16/D16</f>
        <v>0.79827220749507521</v>
      </c>
      <c r="K16" s="76">
        <v>811854.21</v>
      </c>
      <c r="L16" s="80">
        <v>0.74830335065985099</v>
      </c>
      <c r="M16" s="269">
        <f t="shared" si="3"/>
        <v>4.4399535724523931E-2</v>
      </c>
      <c r="N16" s="63">
        <v>22101</v>
      </c>
    </row>
    <row r="17" spans="1:14" ht="15" customHeight="1" x14ac:dyDescent="0.2">
      <c r="A17" s="75"/>
      <c r="B17" s="75" t="s">
        <v>248</v>
      </c>
      <c r="C17" s="267">
        <v>20646455.879999999</v>
      </c>
      <c r="D17" s="217">
        <v>20767484.379999999</v>
      </c>
      <c r="E17" s="268">
        <v>20736789.84</v>
      </c>
      <c r="F17" s="147">
        <f>+E17/D17</f>
        <v>0.99852199046170664</v>
      </c>
      <c r="G17" s="268">
        <v>20736789.84</v>
      </c>
      <c r="H17" s="147">
        <f>+G17/D17</f>
        <v>0.99852199046170664</v>
      </c>
      <c r="I17" s="76">
        <v>14182247.07</v>
      </c>
      <c r="J17" s="221">
        <f>I17/D17</f>
        <v>0.68290635545911993</v>
      </c>
      <c r="K17" s="76">
        <v>13990445.23</v>
      </c>
      <c r="L17" s="80">
        <v>0.88056771834490588</v>
      </c>
      <c r="M17" s="269">
        <f t="shared" si="3"/>
        <v>1.3709487928855513E-2</v>
      </c>
      <c r="N17" s="63">
        <v>22120</v>
      </c>
    </row>
    <row r="18" spans="1:14" ht="15" customHeight="1" x14ac:dyDescent="0.2">
      <c r="A18" s="75"/>
      <c r="B18" s="75" t="s">
        <v>250</v>
      </c>
      <c r="C18" s="267">
        <v>556922.39</v>
      </c>
      <c r="D18" s="217">
        <v>740878.62</v>
      </c>
      <c r="E18" s="268">
        <v>729028.72</v>
      </c>
      <c r="F18" s="147">
        <f>+E18/D18</f>
        <v>0.9840056121473717</v>
      </c>
      <c r="G18" s="268">
        <v>729028.72</v>
      </c>
      <c r="H18" s="147">
        <f>+G18/D18</f>
        <v>0.9840056121473717</v>
      </c>
      <c r="I18" s="76">
        <v>547699.64</v>
      </c>
      <c r="J18" s="221">
        <f>I18/D18</f>
        <v>0.73925691093636903</v>
      </c>
      <c r="K18" s="76">
        <v>457866.39</v>
      </c>
      <c r="L18" s="80">
        <v>0.86902484951993053</v>
      </c>
      <c r="M18" s="269">
        <f t="shared" si="3"/>
        <v>0.19619970358601768</v>
      </c>
      <c r="N18" s="63">
        <v>22121</v>
      </c>
    </row>
    <row r="19" spans="1:14" ht="15" customHeight="1" x14ac:dyDescent="0.2">
      <c r="A19" s="75"/>
      <c r="B19" s="75" t="s">
        <v>246</v>
      </c>
      <c r="C19" s="267">
        <v>1124173.03</v>
      </c>
      <c r="D19" s="217">
        <v>1119563.03</v>
      </c>
      <c r="E19" s="268">
        <v>914853.21</v>
      </c>
      <c r="F19" s="147">
        <f t="shared" si="4"/>
        <v>0.81715203654054203</v>
      </c>
      <c r="G19" s="268">
        <v>914853.21</v>
      </c>
      <c r="H19" s="147">
        <f t="shared" si="1"/>
        <v>0.81715203654054203</v>
      </c>
      <c r="I19" s="76">
        <v>547527.22</v>
      </c>
      <c r="J19" s="221">
        <f t="shared" si="2"/>
        <v>0.48905439473112999</v>
      </c>
      <c r="K19" s="76">
        <v>569700.34000000008</v>
      </c>
      <c r="L19" s="80">
        <v>0.47589131604453044</v>
      </c>
      <c r="M19" s="269">
        <f t="shared" si="3"/>
        <v>-3.8920671874621116E-2</v>
      </c>
      <c r="N19" s="64" t="s">
        <v>251</v>
      </c>
    </row>
    <row r="20" spans="1:14" ht="15" customHeight="1" x14ac:dyDescent="0.2">
      <c r="A20" s="77"/>
      <c r="B20" s="77" t="s">
        <v>252</v>
      </c>
      <c r="C20" s="211">
        <v>5399766.2199999997</v>
      </c>
      <c r="D20" s="216">
        <v>5293618.66</v>
      </c>
      <c r="E20" s="268">
        <v>4922714.8900000006</v>
      </c>
      <c r="F20" s="493">
        <f t="shared" si="4"/>
        <v>0.92993379504219909</v>
      </c>
      <c r="G20" s="268">
        <v>4076987.36</v>
      </c>
      <c r="H20" s="493">
        <f t="shared" si="1"/>
        <v>0.77017020338219822</v>
      </c>
      <c r="I20" s="78">
        <v>2290833.23</v>
      </c>
      <c r="J20" s="511">
        <f t="shared" si="2"/>
        <v>0.43275373183001437</v>
      </c>
      <c r="K20" s="78">
        <v>2849882.9399999976</v>
      </c>
      <c r="L20" s="81">
        <v>0.54130891649996382</v>
      </c>
      <c r="M20" s="270">
        <f t="shared" si="3"/>
        <v>-0.19616585023664102</v>
      </c>
      <c r="N20" s="64" t="s">
        <v>253</v>
      </c>
    </row>
    <row r="21" spans="1:14" ht="15" customHeight="1" x14ac:dyDescent="0.2">
      <c r="A21" s="73"/>
      <c r="B21" s="73" t="s">
        <v>254</v>
      </c>
      <c r="C21" s="212">
        <v>3726957.63</v>
      </c>
      <c r="D21" s="215">
        <v>3791009.34</v>
      </c>
      <c r="E21" s="74">
        <v>3785369.34</v>
      </c>
      <c r="F21" s="495">
        <f t="shared" si="4"/>
        <v>0.99851226955827022</v>
      </c>
      <c r="G21" s="74">
        <v>3769894.39</v>
      </c>
      <c r="H21" s="495">
        <f t="shared" si="1"/>
        <v>0.99443025640237548</v>
      </c>
      <c r="I21" s="74">
        <v>3087225.06</v>
      </c>
      <c r="J21" s="512">
        <f t="shared" si="2"/>
        <v>0.81435437982856573</v>
      </c>
      <c r="K21" s="74">
        <v>3109774.41</v>
      </c>
      <c r="L21" s="79">
        <v>0.84131238084843762</v>
      </c>
      <c r="M21" s="269">
        <f t="shared" si="3"/>
        <v>-7.2511208296939245E-3</v>
      </c>
      <c r="N21" s="63">
        <v>22200</v>
      </c>
    </row>
    <row r="22" spans="1:14" ht="15" customHeight="1" x14ac:dyDescent="0.2">
      <c r="A22" s="77"/>
      <c r="B22" s="77" t="s">
        <v>255</v>
      </c>
      <c r="C22" s="211">
        <v>823380.50999999978</v>
      </c>
      <c r="D22" s="216">
        <v>1223186.3799999999</v>
      </c>
      <c r="E22" s="78">
        <v>1167890.79</v>
      </c>
      <c r="F22" s="496">
        <f t="shared" si="4"/>
        <v>0.95479381482321624</v>
      </c>
      <c r="G22" s="268">
        <v>1108445.6499999999</v>
      </c>
      <c r="H22" s="496">
        <f t="shared" si="1"/>
        <v>0.90619521940720105</v>
      </c>
      <c r="I22" s="66">
        <v>754330.30999999994</v>
      </c>
      <c r="J22" s="511">
        <f t="shared" si="2"/>
        <v>0.61669286245649657</v>
      </c>
      <c r="K22" s="78">
        <v>563224.64999999991</v>
      </c>
      <c r="L22" s="81">
        <v>0.63371655454657638</v>
      </c>
      <c r="M22" s="269">
        <f t="shared" si="3"/>
        <v>0.33930627858706131</v>
      </c>
      <c r="N22" s="64" t="s">
        <v>256</v>
      </c>
    </row>
    <row r="23" spans="1:14" ht="15" customHeight="1" x14ac:dyDescent="0.2">
      <c r="A23" s="73"/>
      <c r="B23" s="73" t="s">
        <v>257</v>
      </c>
      <c r="C23" s="212">
        <v>622330.44999999995</v>
      </c>
      <c r="D23" s="218">
        <v>602656.68999999994</v>
      </c>
      <c r="E23" s="90">
        <v>593091.12</v>
      </c>
      <c r="F23" s="495">
        <f t="shared" si="4"/>
        <v>0.9841276631310607</v>
      </c>
      <c r="G23" s="74">
        <v>547600.54</v>
      </c>
      <c r="H23" s="495">
        <f t="shared" si="1"/>
        <v>0.90864425648373714</v>
      </c>
      <c r="I23" s="74">
        <v>400524.26</v>
      </c>
      <c r="J23" s="510">
        <f t="shared" si="2"/>
        <v>0.66459771648764088</v>
      </c>
      <c r="K23" s="74">
        <v>428683.11</v>
      </c>
      <c r="L23" s="79">
        <v>0.65158994514694568</v>
      </c>
      <c r="M23" s="269">
        <f t="shared" ref="M23:M25" si="5">+I23/K23-1</f>
        <v>-6.568686599292417E-2</v>
      </c>
      <c r="N23" s="63">
        <v>223</v>
      </c>
    </row>
    <row r="24" spans="1:14" ht="15" customHeight="1" x14ac:dyDescent="0.2">
      <c r="A24" s="75"/>
      <c r="B24" s="75" t="s">
        <v>258</v>
      </c>
      <c r="C24" s="212">
        <v>2466584.48</v>
      </c>
      <c r="D24" s="470">
        <v>2466655.5699999998</v>
      </c>
      <c r="E24" s="268">
        <v>2080815.84</v>
      </c>
      <c r="F24" s="147">
        <f t="shared" si="4"/>
        <v>0.843577784149248</v>
      </c>
      <c r="G24" s="90">
        <v>2080815.76</v>
      </c>
      <c r="H24" s="147">
        <f t="shared" si="1"/>
        <v>0.8435777517166696</v>
      </c>
      <c r="I24" s="90">
        <v>1565858.65</v>
      </c>
      <c r="J24" s="221">
        <f t="shared" si="2"/>
        <v>0.63481041659983362</v>
      </c>
      <c r="K24" s="76">
        <v>1855280.11</v>
      </c>
      <c r="L24" s="80">
        <v>0.76978753155050739</v>
      </c>
      <c r="M24" s="269">
        <f t="shared" si="5"/>
        <v>-0.15599879416591178</v>
      </c>
      <c r="N24" s="63">
        <v>224</v>
      </c>
    </row>
    <row r="25" spans="1:14" ht="15" customHeight="1" x14ac:dyDescent="0.2">
      <c r="A25" s="77"/>
      <c r="B25" s="77" t="s">
        <v>259</v>
      </c>
      <c r="C25" s="211">
        <v>844814.86</v>
      </c>
      <c r="D25" s="185">
        <v>614021.30000000005</v>
      </c>
      <c r="E25" s="78">
        <v>393277</v>
      </c>
      <c r="F25" s="493">
        <f t="shared" si="4"/>
        <v>0.64049406755107674</v>
      </c>
      <c r="G25" s="66">
        <v>33213.54</v>
      </c>
      <c r="H25" s="493">
        <f t="shared" si="1"/>
        <v>5.409183687927438E-2</v>
      </c>
      <c r="I25" s="66">
        <v>33213.54</v>
      </c>
      <c r="J25" s="511">
        <f t="shared" si="2"/>
        <v>5.409183687927438E-2</v>
      </c>
      <c r="K25" s="78">
        <v>565084.12</v>
      </c>
      <c r="L25" s="81">
        <v>0.92075486553431973</v>
      </c>
      <c r="M25" s="269">
        <f t="shared" si="5"/>
        <v>-0.94122372435452617</v>
      </c>
      <c r="N25" s="63">
        <v>225</v>
      </c>
    </row>
    <row r="26" spans="1:14" ht="15" customHeight="1" x14ac:dyDescent="0.2">
      <c r="A26" s="73"/>
      <c r="B26" s="73" t="s">
        <v>261</v>
      </c>
      <c r="C26" s="212">
        <v>1326385.93</v>
      </c>
      <c r="D26" s="215">
        <v>1077631.6499999999</v>
      </c>
      <c r="E26" s="90">
        <v>892156.28</v>
      </c>
      <c r="F26" s="495">
        <f t="shared" si="4"/>
        <v>0.82788611488907193</v>
      </c>
      <c r="G26" s="90">
        <v>568343.68999999994</v>
      </c>
      <c r="H26" s="495">
        <f t="shared" si="1"/>
        <v>0.52740070319946519</v>
      </c>
      <c r="I26" s="90">
        <v>568343.68999999994</v>
      </c>
      <c r="J26" s="510">
        <f t="shared" si="2"/>
        <v>0.52740070319946519</v>
      </c>
      <c r="K26" s="74">
        <v>649787.38</v>
      </c>
      <c r="L26" s="79">
        <v>0.54684789547795054</v>
      </c>
      <c r="M26" s="269">
        <f t="shared" si="3"/>
        <v>-0.12533898396118448</v>
      </c>
      <c r="N26" s="63">
        <v>22601</v>
      </c>
    </row>
    <row r="27" spans="1:14" ht="15" customHeight="1" x14ac:dyDescent="0.2">
      <c r="A27" s="75"/>
      <c r="B27" s="75" t="s">
        <v>260</v>
      </c>
      <c r="C27" s="212">
        <v>13040585.99</v>
      </c>
      <c r="D27" s="215">
        <v>13366495.25</v>
      </c>
      <c r="E27" s="90">
        <v>13329281.439999999</v>
      </c>
      <c r="F27" s="147">
        <f t="shared" si="4"/>
        <v>0.99721588873493217</v>
      </c>
      <c r="G27" s="90">
        <v>12596252.08</v>
      </c>
      <c r="H27" s="147">
        <f t="shared" si="1"/>
        <v>0.94237508370041878</v>
      </c>
      <c r="I27" s="90">
        <v>10672473.34</v>
      </c>
      <c r="J27" s="221">
        <f t="shared" si="2"/>
        <v>0.79844964146454167</v>
      </c>
      <c r="K27" s="76">
        <v>9547864.3100000005</v>
      </c>
      <c r="L27" s="80">
        <v>0.68284712491957411</v>
      </c>
      <c r="M27" s="269">
        <f t="shared" si="3"/>
        <v>0.1177864487267728</v>
      </c>
      <c r="N27" s="63">
        <v>22602</v>
      </c>
    </row>
    <row r="28" spans="1:14" ht="15" customHeight="1" x14ac:dyDescent="0.2">
      <c r="A28" s="75"/>
      <c r="B28" s="75" t="s">
        <v>262</v>
      </c>
      <c r="C28" s="212">
        <v>643129.06000000006</v>
      </c>
      <c r="D28" s="470">
        <v>1098657.1599999999</v>
      </c>
      <c r="E28" s="268">
        <v>1008790.92</v>
      </c>
      <c r="F28" s="147">
        <f t="shared" si="4"/>
        <v>0.91820356406724746</v>
      </c>
      <c r="G28" s="90">
        <v>546014.81999999995</v>
      </c>
      <c r="H28" s="147">
        <f t="shared" si="1"/>
        <v>0.49698380885261784</v>
      </c>
      <c r="I28" s="90">
        <v>508320.14</v>
      </c>
      <c r="J28" s="221">
        <f t="shared" si="2"/>
        <v>0.46267403381779265</v>
      </c>
      <c r="K28" s="76">
        <v>345147.72</v>
      </c>
      <c r="L28" s="80">
        <v>0.51688275423787133</v>
      </c>
      <c r="M28" s="269">
        <f t="shared" si="3"/>
        <v>0.47276111225651452</v>
      </c>
      <c r="N28" s="63">
        <v>22606</v>
      </c>
    </row>
    <row r="29" spans="1:14" ht="15" customHeight="1" x14ac:dyDescent="0.2">
      <c r="A29" s="75"/>
      <c r="B29" s="75" t="s">
        <v>263</v>
      </c>
      <c r="C29" s="212">
        <v>17342647.079999998</v>
      </c>
      <c r="D29" s="470">
        <v>24668492.309999999</v>
      </c>
      <c r="E29" s="268">
        <v>22848048.469999999</v>
      </c>
      <c r="F29" s="147">
        <f t="shared" si="4"/>
        <v>0.92620368455748558</v>
      </c>
      <c r="G29" s="90">
        <v>19261983.870000001</v>
      </c>
      <c r="H29" s="147">
        <f t="shared" si="1"/>
        <v>0.78083344648475606</v>
      </c>
      <c r="I29" s="90">
        <v>13667126.27</v>
      </c>
      <c r="J29" s="221">
        <f t="shared" si="2"/>
        <v>0.55403168131437375</v>
      </c>
      <c r="K29" s="76">
        <v>12073436.449999999</v>
      </c>
      <c r="L29" s="80">
        <v>0.54635833785803767</v>
      </c>
      <c r="M29" s="269">
        <f t="shared" si="3"/>
        <v>0.13199968597176004</v>
      </c>
      <c r="N29" s="63">
        <v>22610</v>
      </c>
    </row>
    <row r="30" spans="1:14" ht="15" customHeight="1" x14ac:dyDescent="0.2">
      <c r="A30" s="77"/>
      <c r="B30" s="77" t="s">
        <v>264</v>
      </c>
      <c r="C30" s="211">
        <v>16396084.009999998</v>
      </c>
      <c r="D30" s="185">
        <v>10197472.939999999</v>
      </c>
      <c r="E30" s="78">
        <v>9188904.3099999987</v>
      </c>
      <c r="F30" s="493">
        <f t="shared" si="4"/>
        <v>0.90109621904032222</v>
      </c>
      <c r="G30" s="66">
        <v>8324150.0199999996</v>
      </c>
      <c r="H30" s="493">
        <f t="shared" si="1"/>
        <v>0.81629537719567613</v>
      </c>
      <c r="I30" s="66">
        <v>7349911.3399999999</v>
      </c>
      <c r="J30" s="511">
        <f t="shared" si="2"/>
        <v>0.72075811166604575</v>
      </c>
      <c r="K30" s="78">
        <v>2157149.5399999991</v>
      </c>
      <c r="L30" s="81">
        <v>0.34488863982879858</v>
      </c>
      <c r="M30" s="202">
        <f t="shared" si="3"/>
        <v>2.4072331118963608</v>
      </c>
      <c r="N30" s="64" t="s">
        <v>265</v>
      </c>
    </row>
    <row r="31" spans="1:14" ht="15" customHeight="1" x14ac:dyDescent="0.2">
      <c r="A31" s="73"/>
      <c r="B31" s="73" t="s">
        <v>266</v>
      </c>
      <c r="C31" s="210">
        <v>11908878.640000001</v>
      </c>
      <c r="D31" s="215">
        <v>11611694.029999999</v>
      </c>
      <c r="E31" s="76">
        <v>10885192.4</v>
      </c>
      <c r="F31" s="494">
        <f t="shared" si="4"/>
        <v>0.93743362268046271</v>
      </c>
      <c r="G31" s="76">
        <v>10861775.41</v>
      </c>
      <c r="H31" s="147">
        <f t="shared" si="1"/>
        <v>0.93541694966621514</v>
      </c>
      <c r="I31" s="76">
        <v>8787424.2799999993</v>
      </c>
      <c r="J31" s="510">
        <f t="shared" si="2"/>
        <v>0.75677366776086152</v>
      </c>
      <c r="K31" s="74">
        <v>8508845.5600000005</v>
      </c>
      <c r="L31" s="79">
        <v>0.7900759438235242</v>
      </c>
      <c r="M31" s="269">
        <f t="shared" si="3"/>
        <v>3.2739896151082526E-2</v>
      </c>
      <c r="N31" s="63">
        <v>22700</v>
      </c>
    </row>
    <row r="32" spans="1:14" ht="15" customHeight="1" x14ac:dyDescent="0.2">
      <c r="A32" s="75"/>
      <c r="B32" s="75" t="s">
        <v>267</v>
      </c>
      <c r="C32" s="210">
        <v>2874262.5</v>
      </c>
      <c r="D32" s="215">
        <v>5255775.79</v>
      </c>
      <c r="E32" s="76">
        <v>4761355.4400000004</v>
      </c>
      <c r="F32" s="147">
        <f t="shared" si="4"/>
        <v>0.90592818838643807</v>
      </c>
      <c r="G32" s="76">
        <v>3999232.67</v>
      </c>
      <c r="H32" s="147">
        <f t="shared" si="1"/>
        <v>0.76092147568570456</v>
      </c>
      <c r="I32" s="76">
        <v>2717435.02</v>
      </c>
      <c r="J32" s="221">
        <f t="shared" si="2"/>
        <v>0.51703785103816235</v>
      </c>
      <c r="K32" s="76">
        <v>2504365.52</v>
      </c>
      <c r="L32" s="80">
        <v>0.52705182174537879</v>
      </c>
      <c r="M32" s="269">
        <f t="shared" si="3"/>
        <v>8.5079233961023348E-2</v>
      </c>
      <c r="N32" s="63">
        <v>22703</v>
      </c>
    </row>
    <row r="33" spans="1:14" ht="15" customHeight="1" x14ac:dyDescent="0.2">
      <c r="A33" s="75"/>
      <c r="B33" s="75" t="s">
        <v>268</v>
      </c>
      <c r="C33" s="210">
        <v>2461274.11</v>
      </c>
      <c r="D33" s="215">
        <v>1993153.4900000002</v>
      </c>
      <c r="E33" s="76">
        <v>1753841.59</v>
      </c>
      <c r="F33" s="147">
        <f t="shared" si="4"/>
        <v>0.87993303014510937</v>
      </c>
      <c r="G33" s="76">
        <v>1645956.1600000001</v>
      </c>
      <c r="H33" s="147">
        <f t="shared" si="1"/>
        <v>0.82580502116773757</v>
      </c>
      <c r="I33" s="76">
        <v>920106.39</v>
      </c>
      <c r="J33" s="221">
        <f t="shared" si="2"/>
        <v>0.4616334841327247</v>
      </c>
      <c r="K33" s="76">
        <v>1019300.82</v>
      </c>
      <c r="L33" s="80">
        <v>0.4587411106323529</v>
      </c>
      <c r="M33" s="269">
        <f t="shared" si="3"/>
        <v>-9.7316148534050906E-2</v>
      </c>
      <c r="N33" s="63" t="s">
        <v>269</v>
      </c>
    </row>
    <row r="34" spans="1:14" ht="15" customHeight="1" x14ac:dyDescent="0.2">
      <c r="A34" s="75"/>
      <c r="B34" s="75" t="s">
        <v>270</v>
      </c>
      <c r="C34" s="210">
        <v>3735000</v>
      </c>
      <c r="D34" s="215">
        <v>3597602</v>
      </c>
      <c r="E34" s="76">
        <v>2628961.67</v>
      </c>
      <c r="F34" s="147">
        <f t="shared" si="4"/>
        <v>0.73075389384373257</v>
      </c>
      <c r="G34" s="76">
        <v>2628961.67</v>
      </c>
      <c r="H34" s="147">
        <f t="shared" si="1"/>
        <v>0.73075389384373257</v>
      </c>
      <c r="I34" s="76">
        <v>2415826.4</v>
      </c>
      <c r="J34" s="221">
        <f t="shared" si="2"/>
        <v>0.67151018928719741</v>
      </c>
      <c r="K34" s="76">
        <v>2277080.4300000002</v>
      </c>
      <c r="L34" s="80">
        <v>0.52391841932700611</v>
      </c>
      <c r="M34" s="269">
        <f t="shared" si="3"/>
        <v>6.0931519226134601E-2</v>
      </c>
      <c r="N34" s="64">
        <v>22708</v>
      </c>
    </row>
    <row r="35" spans="1:14" ht="15" customHeight="1" x14ac:dyDescent="0.2">
      <c r="A35" s="75"/>
      <c r="B35" s="75" t="s">
        <v>271</v>
      </c>
      <c r="C35" s="210">
        <v>15900827.689999999</v>
      </c>
      <c r="D35" s="215">
        <v>17514324.5</v>
      </c>
      <c r="E35" s="76">
        <v>17445996.609999999</v>
      </c>
      <c r="F35" s="147">
        <f t="shared" si="4"/>
        <v>0.99609874248932639</v>
      </c>
      <c r="G35" s="76">
        <v>17230063.52</v>
      </c>
      <c r="H35" s="147">
        <f t="shared" si="1"/>
        <v>0.98376980054240737</v>
      </c>
      <c r="I35" s="76">
        <v>12415160.710000001</v>
      </c>
      <c r="J35" s="221">
        <f t="shared" si="2"/>
        <v>0.70885752459365481</v>
      </c>
      <c r="K35" s="76">
        <v>10656466.51</v>
      </c>
      <c r="L35" s="80">
        <v>0.79642757051128243</v>
      </c>
      <c r="M35" s="269">
        <f t="shared" si="3"/>
        <v>0.16503539877403517</v>
      </c>
      <c r="N35" s="63">
        <v>22712</v>
      </c>
    </row>
    <row r="36" spans="1:14" ht="15" customHeight="1" x14ac:dyDescent="0.2">
      <c r="A36" s="75"/>
      <c r="B36" s="75" t="s">
        <v>272</v>
      </c>
      <c r="C36" s="210">
        <v>11600000</v>
      </c>
      <c r="D36" s="215">
        <v>12516606.189999999</v>
      </c>
      <c r="E36" s="76">
        <v>12516606.189999999</v>
      </c>
      <c r="F36" s="147">
        <f t="shared" si="4"/>
        <v>1</v>
      </c>
      <c r="G36" s="76">
        <v>12516606.189999999</v>
      </c>
      <c r="H36" s="147">
        <f t="shared" si="1"/>
        <v>1</v>
      </c>
      <c r="I36" s="76">
        <v>9031433.2699999996</v>
      </c>
      <c r="J36" s="221">
        <f t="shared" si="2"/>
        <v>0.72155607781409314</v>
      </c>
      <c r="K36" s="76"/>
      <c r="L36" s="80" t="s">
        <v>129</v>
      </c>
      <c r="M36" s="269" t="s">
        <v>129</v>
      </c>
      <c r="N36" s="63">
        <v>22714</v>
      </c>
    </row>
    <row r="37" spans="1:14" ht="15" customHeight="1" x14ac:dyDescent="0.2">
      <c r="A37" s="75"/>
      <c r="B37" s="75" t="s">
        <v>273</v>
      </c>
      <c r="C37" s="210"/>
      <c r="D37" s="215"/>
      <c r="E37" s="76"/>
      <c r="F37" s="147" t="s">
        <v>129</v>
      </c>
      <c r="G37" s="76"/>
      <c r="H37" s="147" t="s">
        <v>129</v>
      </c>
      <c r="I37" s="76"/>
      <c r="J37" s="221" t="s">
        <v>129</v>
      </c>
      <c r="K37" s="76"/>
      <c r="L37" s="80" t="s">
        <v>129</v>
      </c>
      <c r="M37" s="269" t="s">
        <v>129</v>
      </c>
      <c r="N37" s="63">
        <v>22715</v>
      </c>
    </row>
    <row r="38" spans="1:14" ht="15" customHeight="1" x14ac:dyDescent="0.2">
      <c r="A38" s="75"/>
      <c r="B38" s="75" t="s">
        <v>274</v>
      </c>
      <c r="C38" s="210">
        <v>13595150.939999999</v>
      </c>
      <c r="D38" s="215">
        <v>13367629.93</v>
      </c>
      <c r="E38" s="76">
        <v>13293025.49</v>
      </c>
      <c r="F38" s="147">
        <f t="shared" si="4"/>
        <v>0.99441902263971493</v>
      </c>
      <c r="G38" s="76">
        <v>13293025.49</v>
      </c>
      <c r="H38" s="147">
        <f t="shared" si="1"/>
        <v>0.99441902263971493</v>
      </c>
      <c r="I38" s="76">
        <v>10163870.869999999</v>
      </c>
      <c r="J38" s="221">
        <f t="shared" si="2"/>
        <v>0.76033454869886563</v>
      </c>
      <c r="K38" s="76">
        <v>9831319.4499999993</v>
      </c>
      <c r="L38" s="80">
        <v>0.72021153710800534</v>
      </c>
      <c r="M38" s="269">
        <f t="shared" si="3"/>
        <v>3.3825716038552667E-2</v>
      </c>
      <c r="N38" s="63">
        <v>22716</v>
      </c>
    </row>
    <row r="39" spans="1:14" ht="15" customHeight="1" x14ac:dyDescent="0.2">
      <c r="A39" s="75"/>
      <c r="B39" s="75" t="s">
        <v>465</v>
      </c>
      <c r="C39" s="210">
        <v>209726</v>
      </c>
      <c r="D39" s="215">
        <v>196632.61</v>
      </c>
      <c r="E39" s="76">
        <v>196444.27</v>
      </c>
      <c r="F39" s="147">
        <f t="shared" si="4"/>
        <v>0.99904217311665655</v>
      </c>
      <c r="G39" s="76">
        <v>196444.27</v>
      </c>
      <c r="H39" s="147">
        <f t="shared" si="1"/>
        <v>0.99904217311665655</v>
      </c>
      <c r="I39" s="76">
        <v>153443.78</v>
      </c>
      <c r="J39" s="221">
        <f t="shared" si="2"/>
        <v>0.78035774432328397</v>
      </c>
      <c r="K39" s="76">
        <v>162240.01999999999</v>
      </c>
      <c r="L39" s="80">
        <v>0.78928927195273757</v>
      </c>
      <c r="M39" s="269">
        <f t="shared" si="3"/>
        <v>-5.4217448937691204E-2</v>
      </c>
      <c r="N39" s="63" t="s">
        <v>466</v>
      </c>
    </row>
    <row r="40" spans="1:14" ht="15" customHeight="1" x14ac:dyDescent="0.2">
      <c r="A40" s="75"/>
      <c r="B40" s="75" t="s">
        <v>467</v>
      </c>
      <c r="C40" s="210">
        <v>120000.38</v>
      </c>
      <c r="D40" s="215">
        <v>126553.12</v>
      </c>
      <c r="E40" s="76">
        <v>126553.12</v>
      </c>
      <c r="F40" s="147">
        <f t="shared" si="4"/>
        <v>1</v>
      </c>
      <c r="G40" s="76">
        <v>126553.12</v>
      </c>
      <c r="H40" s="147">
        <f t="shared" si="1"/>
        <v>1</v>
      </c>
      <c r="I40" s="76">
        <v>126553.12</v>
      </c>
      <c r="J40" s="221">
        <f t="shared" si="2"/>
        <v>1</v>
      </c>
      <c r="K40" s="76">
        <v>118104.69</v>
      </c>
      <c r="L40" s="80">
        <v>0.99776057687701847</v>
      </c>
      <c r="M40" s="269">
        <f t="shared" si="3"/>
        <v>7.1533399732051306E-2</v>
      </c>
      <c r="N40" s="63" t="s">
        <v>468</v>
      </c>
    </row>
    <row r="41" spans="1:14" ht="15" customHeight="1" x14ac:dyDescent="0.2">
      <c r="A41" s="75"/>
      <c r="B41" s="75" t="s">
        <v>280</v>
      </c>
      <c r="C41" s="210">
        <v>63029764.009999998</v>
      </c>
      <c r="D41" s="215">
        <v>59759263.82</v>
      </c>
      <c r="E41" s="76">
        <v>57206279.579999998</v>
      </c>
      <c r="F41" s="147">
        <f t="shared" ref="F41:F51" si="6">+E41/D41</f>
        <v>0.95727885390807677</v>
      </c>
      <c r="G41" s="76">
        <v>55897000.799999997</v>
      </c>
      <c r="H41" s="147">
        <f t="shared" ref="H41:H51" si="7">+G41/D41</f>
        <v>0.93536963521449212</v>
      </c>
      <c r="I41" s="76">
        <v>43620846.670000002</v>
      </c>
      <c r="J41" s="221">
        <f t="shared" ref="J41:J51" si="8">I41/D41</f>
        <v>0.72994283867668974</v>
      </c>
      <c r="K41" s="76">
        <v>43607616.270000003</v>
      </c>
      <c r="L41" s="80">
        <v>0.73868532978915391</v>
      </c>
      <c r="M41" s="269">
        <f t="shared" si="3"/>
        <v>3.0339654243149994E-4</v>
      </c>
      <c r="N41" s="63">
        <v>22719</v>
      </c>
    </row>
    <row r="42" spans="1:14" ht="15" customHeight="1" x14ac:dyDescent="0.2">
      <c r="A42" s="75"/>
      <c r="B42" s="75" t="s">
        <v>275</v>
      </c>
      <c r="C42" s="210">
        <v>1550000</v>
      </c>
      <c r="D42" s="215">
        <v>2185347.9</v>
      </c>
      <c r="E42" s="76">
        <v>2101816.5</v>
      </c>
      <c r="F42" s="147">
        <f t="shared" si="6"/>
        <v>0.9617766123187983</v>
      </c>
      <c r="G42" s="76">
        <v>2101816.5</v>
      </c>
      <c r="H42" s="147">
        <f t="shared" si="7"/>
        <v>0.9617766123187983</v>
      </c>
      <c r="I42" s="76">
        <v>1753467.22</v>
      </c>
      <c r="J42" s="221">
        <f t="shared" si="8"/>
        <v>0.80237440455133024</v>
      </c>
      <c r="K42" s="76">
        <v>1364777.43</v>
      </c>
      <c r="L42" s="80">
        <v>0.79266303767972823</v>
      </c>
      <c r="M42" s="269">
        <f t="shared" si="3"/>
        <v>0.28480086309750896</v>
      </c>
      <c r="N42" s="63">
        <v>22720</v>
      </c>
    </row>
    <row r="43" spans="1:14" ht="15" customHeight="1" x14ac:dyDescent="0.2">
      <c r="A43" s="75"/>
      <c r="B43" s="75" t="s">
        <v>277</v>
      </c>
      <c r="C43" s="210">
        <v>2113545.42</v>
      </c>
      <c r="D43" s="215">
        <v>1107238.1299999999</v>
      </c>
      <c r="E43" s="76">
        <v>1107238.1299999999</v>
      </c>
      <c r="F43" s="147">
        <f t="shared" si="6"/>
        <v>1</v>
      </c>
      <c r="G43" s="76">
        <v>1107238.1299999999</v>
      </c>
      <c r="H43" s="147">
        <f t="shared" si="7"/>
        <v>1</v>
      </c>
      <c r="I43" s="76">
        <v>564754.34</v>
      </c>
      <c r="J43" s="221">
        <f t="shared" si="8"/>
        <v>0.51005680232489825</v>
      </c>
      <c r="K43" s="76">
        <v>888967.23</v>
      </c>
      <c r="L43" s="80">
        <v>0.6261826712765366</v>
      </c>
      <c r="M43" s="269">
        <f t="shared" si="3"/>
        <v>-0.36470735822286726</v>
      </c>
      <c r="N43" s="63">
        <v>22721</v>
      </c>
    </row>
    <row r="44" spans="1:14" ht="15" customHeight="1" x14ac:dyDescent="0.2">
      <c r="A44" s="75"/>
      <c r="B44" s="75" t="s">
        <v>276</v>
      </c>
      <c r="C44" s="210">
        <v>2650000</v>
      </c>
      <c r="D44" s="215">
        <v>2710751.29</v>
      </c>
      <c r="E44" s="76">
        <v>2710751.29</v>
      </c>
      <c r="F44" s="147">
        <f t="shared" si="6"/>
        <v>1</v>
      </c>
      <c r="G44" s="76">
        <v>2710751.29</v>
      </c>
      <c r="H44" s="147">
        <f t="shared" si="7"/>
        <v>1</v>
      </c>
      <c r="I44" s="76">
        <v>1680467.82</v>
      </c>
      <c r="J44" s="221">
        <f t="shared" si="8"/>
        <v>0.61992696497065947</v>
      </c>
      <c r="K44" s="76">
        <v>644779.93000000005</v>
      </c>
      <c r="L44" s="80">
        <v>0.22683773555306128</v>
      </c>
      <c r="M44" s="269">
        <f t="shared" si="3"/>
        <v>1.6062657068125552</v>
      </c>
      <c r="N44" s="63">
        <v>22723</v>
      </c>
    </row>
    <row r="45" spans="1:14" ht="15" customHeight="1" x14ac:dyDescent="0.2">
      <c r="A45" s="75"/>
      <c r="B45" s="75" t="s">
        <v>279</v>
      </c>
      <c r="C45" s="210">
        <v>9307905.2899999991</v>
      </c>
      <c r="D45" s="215">
        <v>8894695.9000000004</v>
      </c>
      <c r="E45" s="76">
        <v>8894695.9000000004</v>
      </c>
      <c r="F45" s="147">
        <f t="shared" si="6"/>
        <v>1</v>
      </c>
      <c r="G45" s="76">
        <v>8894695.9000000004</v>
      </c>
      <c r="H45" s="147">
        <f t="shared" si="7"/>
        <v>1</v>
      </c>
      <c r="I45" s="76">
        <v>5781298.6299999999</v>
      </c>
      <c r="J45" s="221">
        <f t="shared" si="8"/>
        <v>0.64997147682137169</v>
      </c>
      <c r="K45" s="76">
        <v>5827832.1799999997</v>
      </c>
      <c r="L45" s="80">
        <v>0.63489183868140886</v>
      </c>
      <c r="M45" s="269">
        <f t="shared" si="3"/>
        <v>-7.9847100195667986E-3</v>
      </c>
      <c r="N45" s="63">
        <v>22724</v>
      </c>
    </row>
    <row r="46" spans="1:14" ht="15" customHeight="1" x14ac:dyDescent="0.2">
      <c r="A46" s="75"/>
      <c r="B46" s="75" t="s">
        <v>470</v>
      </c>
      <c r="C46" s="210">
        <v>30380.83</v>
      </c>
      <c r="D46" s="215">
        <v>227484.43</v>
      </c>
      <c r="E46" s="76">
        <v>74602</v>
      </c>
      <c r="F46" s="147">
        <f t="shared" si="6"/>
        <v>0.32794332341778293</v>
      </c>
      <c r="G46" s="76">
        <v>33572.21</v>
      </c>
      <c r="H46" s="147">
        <f t="shared" si="7"/>
        <v>0.14758025417387907</v>
      </c>
      <c r="I46" s="76">
        <v>13970.21</v>
      </c>
      <c r="J46" s="221">
        <f t="shared" si="8"/>
        <v>6.1411719474603159E-2</v>
      </c>
      <c r="K46" s="76">
        <v>56566.49</v>
      </c>
      <c r="L46" s="80">
        <v>0.70865682344693426</v>
      </c>
      <c r="M46" s="269">
        <f t="shared" si="3"/>
        <v>-0.75303028347701972</v>
      </c>
      <c r="N46" s="63" t="s">
        <v>469</v>
      </c>
    </row>
    <row r="47" spans="1:14" ht="15" customHeight="1" x14ac:dyDescent="0.2">
      <c r="A47" s="75"/>
      <c r="B47" s="75" t="s">
        <v>471</v>
      </c>
      <c r="C47" s="210">
        <v>19644.86</v>
      </c>
      <c r="D47" s="215">
        <v>19644.86</v>
      </c>
      <c r="E47" s="76">
        <v>19644.86</v>
      </c>
      <c r="F47" s="147">
        <f t="shared" si="6"/>
        <v>1</v>
      </c>
      <c r="G47" s="76">
        <v>19644.86</v>
      </c>
      <c r="H47" s="147">
        <f t="shared" si="7"/>
        <v>1</v>
      </c>
      <c r="I47" s="76">
        <v>19644.849999999999</v>
      </c>
      <c r="J47" s="221">
        <f t="shared" si="8"/>
        <v>0.99999949096099428</v>
      </c>
      <c r="K47" s="76">
        <v>39668.29</v>
      </c>
      <c r="L47" s="80">
        <v>0.83333399857274626</v>
      </c>
      <c r="M47" s="269">
        <f t="shared" si="3"/>
        <v>-0.50477194756819621</v>
      </c>
      <c r="N47" s="63" t="s">
        <v>472</v>
      </c>
    </row>
    <row r="48" spans="1:14" ht="15" customHeight="1" x14ac:dyDescent="0.2">
      <c r="A48" s="75"/>
      <c r="B48" s="75" t="s">
        <v>281</v>
      </c>
      <c r="C48" s="210">
        <v>261303122.13999999</v>
      </c>
      <c r="D48" s="215">
        <v>259120034.97999999</v>
      </c>
      <c r="E48" s="76">
        <v>256436783.59999999</v>
      </c>
      <c r="F48" s="147">
        <f t="shared" si="6"/>
        <v>0.98964475525712592</v>
      </c>
      <c r="G48" s="76">
        <v>256436783.59999999</v>
      </c>
      <c r="H48" s="147">
        <f t="shared" si="7"/>
        <v>0.98964475525712592</v>
      </c>
      <c r="I48" s="76">
        <v>188253317.69999999</v>
      </c>
      <c r="J48" s="221">
        <f t="shared" si="8"/>
        <v>0.72651008137803852</v>
      </c>
      <c r="K48" s="76">
        <v>191634020.47999999</v>
      </c>
      <c r="L48" s="80">
        <v>0.7428651378368526</v>
      </c>
      <c r="M48" s="269">
        <f t="shared" si="3"/>
        <v>-1.7641454119326494E-2</v>
      </c>
      <c r="N48" s="63">
        <v>22727</v>
      </c>
    </row>
    <row r="49" spans="1:14" ht="15" customHeight="1" x14ac:dyDescent="0.2">
      <c r="A49" s="75"/>
      <c r="B49" s="75" t="s">
        <v>278</v>
      </c>
      <c r="C49" s="210">
        <v>1874554.49</v>
      </c>
      <c r="D49" s="215">
        <v>1451259.87</v>
      </c>
      <c r="E49" s="76">
        <v>1410654.04</v>
      </c>
      <c r="F49" s="147">
        <f t="shared" si="6"/>
        <v>0.97202029020481351</v>
      </c>
      <c r="G49" s="76">
        <v>1400626.93</v>
      </c>
      <c r="H49" s="147">
        <f t="shared" si="7"/>
        <v>0.96511104520515667</v>
      </c>
      <c r="I49" s="76">
        <v>680144.85</v>
      </c>
      <c r="J49" s="221">
        <f t="shared" si="8"/>
        <v>0.46865820798862157</v>
      </c>
      <c r="K49" s="76">
        <v>880505.18</v>
      </c>
      <c r="L49" s="80">
        <v>0.75478220289754938</v>
      </c>
      <c r="M49" s="269">
        <f t="shared" si="3"/>
        <v>-0.2275515630697369</v>
      </c>
      <c r="N49" s="63">
        <v>22729</v>
      </c>
    </row>
    <row r="50" spans="1:14" ht="15" customHeight="1" x14ac:dyDescent="0.2">
      <c r="A50" s="75"/>
      <c r="B50" s="75" t="s">
        <v>283</v>
      </c>
      <c r="C50" s="210">
        <v>50122831.859999999</v>
      </c>
      <c r="D50" s="215">
        <v>44402768.439999998</v>
      </c>
      <c r="E50" s="76">
        <v>43628988.840000004</v>
      </c>
      <c r="F50" s="147">
        <f t="shared" si="6"/>
        <v>0.98257361810569144</v>
      </c>
      <c r="G50" s="76">
        <v>43610310.380000003</v>
      </c>
      <c r="H50" s="147">
        <f t="shared" si="7"/>
        <v>0.98215295829874172</v>
      </c>
      <c r="I50" s="76">
        <v>33691086.939999998</v>
      </c>
      <c r="J50" s="221">
        <f t="shared" si="8"/>
        <v>0.75876095396001397</v>
      </c>
      <c r="K50" s="76">
        <v>33022148.66</v>
      </c>
      <c r="L50" s="80">
        <v>0.78243553021899404</v>
      </c>
      <c r="M50" s="269">
        <f t="shared" si="3"/>
        <v>2.0257260873223881E-2</v>
      </c>
      <c r="N50" s="63">
        <v>22731</v>
      </c>
    </row>
    <row r="51" spans="1:14" ht="15" customHeight="1" x14ac:dyDescent="0.2">
      <c r="A51" s="75"/>
      <c r="B51" s="75" t="s">
        <v>282</v>
      </c>
      <c r="C51" s="210">
        <v>4217686.7</v>
      </c>
      <c r="D51" s="215">
        <v>4133678.45</v>
      </c>
      <c r="E51" s="76">
        <v>4133678.45</v>
      </c>
      <c r="F51" s="147">
        <f t="shared" si="6"/>
        <v>1</v>
      </c>
      <c r="G51" s="76">
        <v>4133678.45</v>
      </c>
      <c r="H51" s="147">
        <f t="shared" si="7"/>
        <v>1</v>
      </c>
      <c r="I51" s="76">
        <v>3430914.5</v>
      </c>
      <c r="J51" s="221">
        <f t="shared" si="8"/>
        <v>0.82999065880414569</v>
      </c>
      <c r="K51" s="76">
        <v>3372880.29</v>
      </c>
      <c r="L51" s="80">
        <v>0.80024120026166945</v>
      </c>
      <c r="M51" s="269">
        <f t="shared" si="3"/>
        <v>1.720612800046939E-2</v>
      </c>
      <c r="N51" s="63">
        <v>22732</v>
      </c>
    </row>
    <row r="52" spans="1:14" ht="15" customHeight="1" x14ac:dyDescent="0.2">
      <c r="A52" s="77"/>
      <c r="B52" s="77" t="s">
        <v>284</v>
      </c>
      <c r="C52" s="211">
        <v>2249365.83</v>
      </c>
      <c r="D52" s="216">
        <v>3931535.46</v>
      </c>
      <c r="E52" s="78">
        <v>3743080.88</v>
      </c>
      <c r="F52" s="493">
        <f t="shared" si="4"/>
        <v>0.95206590862085216</v>
      </c>
      <c r="G52" s="78">
        <v>3487774.6100000003</v>
      </c>
      <c r="H52" s="493">
        <f t="shared" si="1"/>
        <v>0.88712785258714166</v>
      </c>
      <c r="I52" s="78">
        <v>2639197.5</v>
      </c>
      <c r="J52" s="511">
        <f t="shared" si="2"/>
        <v>0.67128925246931381</v>
      </c>
      <c r="K52" s="78">
        <v>1750406.8399999142</v>
      </c>
      <c r="L52" s="80">
        <v>0.60525995749617167</v>
      </c>
      <c r="M52" s="202">
        <f t="shared" si="3"/>
        <v>0.50776233255585845</v>
      </c>
      <c r="N52" s="64" t="s">
        <v>285</v>
      </c>
    </row>
    <row r="53" spans="1:14" ht="15" customHeight="1" x14ac:dyDescent="0.2">
      <c r="A53" s="73"/>
      <c r="B53" s="73" t="s">
        <v>286</v>
      </c>
      <c r="C53" s="210">
        <v>2085705.4</v>
      </c>
      <c r="D53" s="215">
        <v>1534814.91</v>
      </c>
      <c r="E53" s="76">
        <v>1403784.48</v>
      </c>
      <c r="F53" s="494">
        <f>+E53/D53</f>
        <v>0.91462786219610026</v>
      </c>
      <c r="G53" s="567">
        <v>1105763.76</v>
      </c>
      <c r="H53" s="494">
        <f>+G53/D53</f>
        <v>0.72045414257801288</v>
      </c>
      <c r="I53" s="76">
        <v>1105763.76</v>
      </c>
      <c r="J53" s="512">
        <f>I53/D53</f>
        <v>0.72045414257801288</v>
      </c>
      <c r="K53" s="90">
        <v>1489715.28</v>
      </c>
      <c r="L53" s="79">
        <v>0.73825556078842558</v>
      </c>
      <c r="M53" s="203">
        <f t="shared" si="3"/>
        <v>-0.25773483373279227</v>
      </c>
      <c r="N53" s="63">
        <v>230</v>
      </c>
    </row>
    <row r="54" spans="1:14" ht="15" customHeight="1" x14ac:dyDescent="0.2">
      <c r="A54" s="75"/>
      <c r="B54" s="75" t="s">
        <v>287</v>
      </c>
      <c r="C54" s="210">
        <v>1009644.36</v>
      </c>
      <c r="D54" s="215">
        <v>803912.6</v>
      </c>
      <c r="E54" s="76">
        <v>572810.4</v>
      </c>
      <c r="F54" s="147">
        <f t="shared" si="4"/>
        <v>0.7125282026926808</v>
      </c>
      <c r="G54" s="568">
        <v>526909.43000000005</v>
      </c>
      <c r="H54" s="147">
        <f t="shared" si="1"/>
        <v>0.65543123717677776</v>
      </c>
      <c r="I54" s="76">
        <v>512868.94</v>
      </c>
      <c r="J54" s="221">
        <f t="shared" si="2"/>
        <v>0.6379660425772653</v>
      </c>
      <c r="K54" s="76">
        <v>804466.01</v>
      </c>
      <c r="L54" s="80">
        <v>0.6603655608216018</v>
      </c>
      <c r="M54" s="269">
        <f t="shared" si="3"/>
        <v>-0.36247282840452144</v>
      </c>
      <c r="N54" s="63">
        <v>231</v>
      </c>
    </row>
    <row r="55" spans="1:14" ht="15" customHeight="1" x14ac:dyDescent="0.2">
      <c r="A55" s="77"/>
      <c r="B55" s="77" t="s">
        <v>288</v>
      </c>
      <c r="C55" s="211">
        <v>365380.73</v>
      </c>
      <c r="D55" s="216">
        <v>288276.26</v>
      </c>
      <c r="E55" s="78">
        <v>278300.2</v>
      </c>
      <c r="F55" s="493">
        <f t="shared" si="4"/>
        <v>0.96539409800862552</v>
      </c>
      <c r="G55" s="569">
        <v>215801.77</v>
      </c>
      <c r="H55" s="493">
        <f t="shared" si="1"/>
        <v>0.74859362335282131</v>
      </c>
      <c r="I55" s="78">
        <v>215801.77</v>
      </c>
      <c r="J55" s="511">
        <f t="shared" si="2"/>
        <v>0.74859362335282131</v>
      </c>
      <c r="K55" s="78">
        <v>200340.31</v>
      </c>
      <c r="L55" s="80">
        <v>0.67695431312220888</v>
      </c>
      <c r="M55" s="202">
        <f t="shared" si="3"/>
        <v>7.7175981209173461E-2</v>
      </c>
      <c r="N55" s="63">
        <v>233</v>
      </c>
    </row>
    <row r="56" spans="1:14" ht="15" customHeight="1" x14ac:dyDescent="0.2">
      <c r="A56" s="59"/>
      <c r="B56" s="59" t="s">
        <v>289</v>
      </c>
      <c r="C56" s="194"/>
      <c r="D56" s="559"/>
      <c r="E56" s="247"/>
      <c r="F56" s="86" t="s">
        <v>129</v>
      </c>
      <c r="G56" s="60"/>
      <c r="H56" s="86" t="s">
        <v>129</v>
      </c>
      <c r="I56" s="247"/>
      <c r="J56" s="190" t="s">
        <v>129</v>
      </c>
      <c r="K56" s="35">
        <v>4744.53</v>
      </c>
      <c r="L56" s="521">
        <v>1.6118128553507648E-3</v>
      </c>
      <c r="M56" s="203" t="s">
        <v>129</v>
      </c>
      <c r="N56" s="63">
        <v>27</v>
      </c>
    </row>
    <row r="57" spans="1:14" ht="15" customHeight="1" x14ac:dyDescent="0.2">
      <c r="A57" s="9"/>
      <c r="B57" s="91" t="s">
        <v>240</v>
      </c>
      <c r="C57" s="179">
        <f>SUM(C12:C56)</f>
        <v>603468828.03000009</v>
      </c>
      <c r="D57" s="169">
        <f>SUM(D12:D56)</f>
        <v>599265337.5</v>
      </c>
      <c r="E57" s="92">
        <f>SUM(E12:E56)</f>
        <v>583139830.36000013</v>
      </c>
      <c r="F57" s="98">
        <f>+E57/D57</f>
        <v>0.97309120663098614</v>
      </c>
      <c r="G57" s="92">
        <f>SUM(G12:G56)</f>
        <v>571105515.88</v>
      </c>
      <c r="H57" s="98">
        <f t="shared" si="1"/>
        <v>0.95300942694687396</v>
      </c>
      <c r="I57" s="92">
        <f>SUM(I12:I56)</f>
        <v>426647544.63999999</v>
      </c>
      <c r="J57" s="188">
        <f t="shared" si="2"/>
        <v>0.71195098054540817</v>
      </c>
      <c r="K57" s="92">
        <f>SUM(K12:K56)</f>
        <v>407730563.71999991</v>
      </c>
      <c r="L57" s="44">
        <v>0.72099999999999997</v>
      </c>
      <c r="M57" s="161">
        <f>+I57/K57-1</f>
        <v>4.6395788305413577E-2</v>
      </c>
    </row>
    <row r="58" spans="1:14" ht="15" customHeight="1" x14ac:dyDescent="0.2">
      <c r="A58" s="75"/>
      <c r="B58" s="89" t="s">
        <v>346</v>
      </c>
      <c r="C58" s="210">
        <v>33425949.170000002</v>
      </c>
      <c r="D58" s="215">
        <v>23675949.170000002</v>
      </c>
      <c r="E58" s="76">
        <v>22643548.440000001</v>
      </c>
      <c r="F58" s="494">
        <f>+E58/D58</f>
        <v>0.95639453681087627</v>
      </c>
      <c r="G58" s="90">
        <v>22643548.440000001</v>
      </c>
      <c r="H58" s="494">
        <f>+G58/D58</f>
        <v>0.95639453681087627</v>
      </c>
      <c r="I58" s="90">
        <v>22643548.440000001</v>
      </c>
      <c r="J58" s="512">
        <f>I58/D58</f>
        <v>0.95639453681087627</v>
      </c>
      <c r="K58" s="90">
        <v>29501194.390000001</v>
      </c>
      <c r="L58" s="115">
        <v>0.78823826168704614</v>
      </c>
      <c r="M58" s="203">
        <f>+I58/K58-1</f>
        <v>-0.23245316305988384</v>
      </c>
      <c r="N58" s="63" t="s">
        <v>348</v>
      </c>
    </row>
    <row r="59" spans="1:14" ht="15" customHeight="1" x14ac:dyDescent="0.2">
      <c r="A59" s="75"/>
      <c r="B59" s="75" t="s">
        <v>347</v>
      </c>
      <c r="C59" s="210">
        <v>1031803.03</v>
      </c>
      <c r="D59" s="215">
        <v>281803.03000000003</v>
      </c>
      <c r="E59" s="76">
        <v>150772.73000000001</v>
      </c>
      <c r="F59" s="147">
        <f>+E59/D59</f>
        <v>0.5350287752406353</v>
      </c>
      <c r="G59" s="76">
        <v>150772.73000000001</v>
      </c>
      <c r="H59" s="147">
        <f t="shared" si="1"/>
        <v>0.5350287752406353</v>
      </c>
      <c r="I59" s="76">
        <v>150772.73000000001</v>
      </c>
      <c r="J59" s="221">
        <f t="shared" si="2"/>
        <v>0.5350287752406353</v>
      </c>
      <c r="K59" s="76">
        <v>106072.73</v>
      </c>
      <c r="L59" s="80">
        <v>6.5981917190091388E-2</v>
      </c>
      <c r="M59" s="203">
        <f t="shared" ref="M59:M60" si="9">+I59/K59-1</f>
        <v>0.42140897099565566</v>
      </c>
      <c r="N59" s="63" t="s">
        <v>349</v>
      </c>
    </row>
    <row r="60" spans="1:14" ht="15" customHeight="1" x14ac:dyDescent="0.2">
      <c r="A60" s="75"/>
      <c r="B60" s="87" t="s">
        <v>183</v>
      </c>
      <c r="C60" s="471">
        <v>250000</v>
      </c>
      <c r="D60" s="218">
        <v>940424.53</v>
      </c>
      <c r="E60" s="88">
        <v>569226.06000000006</v>
      </c>
      <c r="F60" s="279">
        <f>+E60/D60</f>
        <v>0.60528627427444925</v>
      </c>
      <c r="G60" s="88">
        <v>569226.06000000006</v>
      </c>
      <c r="H60" s="279">
        <f t="shared" si="1"/>
        <v>0.60528627427444925</v>
      </c>
      <c r="I60" s="88">
        <v>569226.06000000006</v>
      </c>
      <c r="J60" s="222">
        <f t="shared" si="2"/>
        <v>0.60528627427444925</v>
      </c>
      <c r="K60" s="88">
        <v>18422.05</v>
      </c>
      <c r="L60" s="395">
        <v>7.3688199999999995E-2</v>
      </c>
      <c r="M60" s="203">
        <f t="shared" si="9"/>
        <v>29.899170287780137</v>
      </c>
      <c r="N60" s="63">
        <v>352</v>
      </c>
    </row>
    <row r="61" spans="1:14" ht="15" customHeight="1" thickBot="1" x14ac:dyDescent="0.25">
      <c r="A61" s="9"/>
      <c r="B61" s="2" t="s">
        <v>2</v>
      </c>
      <c r="C61" s="184">
        <f>SUM(C58:C60)</f>
        <v>34707752.200000003</v>
      </c>
      <c r="D61" s="187">
        <f>SUM(D58:D60)</f>
        <v>24898176.730000004</v>
      </c>
      <c r="E61" s="192">
        <f>SUM(E58:E60)</f>
        <v>23363547.23</v>
      </c>
      <c r="F61" s="443">
        <f>+E61/D61</f>
        <v>0.93836377994092568</v>
      </c>
      <c r="G61" s="192">
        <f>SUM(G58:G60)</f>
        <v>23363547.23</v>
      </c>
      <c r="H61" s="443">
        <f t="shared" si="1"/>
        <v>0.93836377994092568</v>
      </c>
      <c r="I61" s="192">
        <f t="shared" ref="I61" si="10">SUM(I58:I60)</f>
        <v>23363547.23</v>
      </c>
      <c r="J61" s="193">
        <f t="shared" si="2"/>
        <v>0.93836377994092568</v>
      </c>
      <c r="K61" s="213">
        <f>SUM(K58:K60)</f>
        <v>29625689.170000002</v>
      </c>
      <c r="L61" s="204">
        <v>0.754</v>
      </c>
      <c r="M61" s="205">
        <f>+I61/K61-1</f>
        <v>-0.21137540139796185</v>
      </c>
      <c r="N61" s="64">
        <v>3</v>
      </c>
    </row>
    <row r="63" spans="1:14" ht="15.75" thickBot="1" x14ac:dyDescent="0.3">
      <c r="A63" s="7" t="s">
        <v>233</v>
      </c>
    </row>
    <row r="64" spans="1:14" x14ac:dyDescent="0.2">
      <c r="A64" s="8" t="s">
        <v>290</v>
      </c>
      <c r="C64" s="181" t="s">
        <v>479</v>
      </c>
      <c r="D64" s="595" t="s">
        <v>551</v>
      </c>
      <c r="E64" s="593"/>
      <c r="F64" s="593"/>
      <c r="G64" s="593"/>
      <c r="H64" s="593"/>
      <c r="I64" s="593"/>
      <c r="J64" s="594"/>
      <c r="K64" s="603" t="s">
        <v>552</v>
      </c>
      <c r="L64" s="604"/>
      <c r="M64" s="425"/>
    </row>
    <row r="65" spans="1:16" x14ac:dyDescent="0.2">
      <c r="C65" s="174">
        <v>1</v>
      </c>
      <c r="D65" s="165">
        <v>2</v>
      </c>
      <c r="E65" s="95">
        <v>3</v>
      </c>
      <c r="F65" s="96" t="s">
        <v>36</v>
      </c>
      <c r="G65" s="95">
        <v>4</v>
      </c>
      <c r="H65" s="96" t="s">
        <v>37</v>
      </c>
      <c r="I65" s="95">
        <v>5</v>
      </c>
      <c r="J65" s="166" t="s">
        <v>38</v>
      </c>
      <c r="K65" s="165" t="s">
        <v>39</v>
      </c>
      <c r="L65" s="16" t="s">
        <v>40</v>
      </c>
      <c r="M65" s="426" t="s">
        <v>362</v>
      </c>
    </row>
    <row r="66" spans="1:16" ht="25.5" x14ac:dyDescent="0.2">
      <c r="A66" s="1"/>
      <c r="B66" s="2" t="s">
        <v>150</v>
      </c>
      <c r="C66" s="175" t="s">
        <v>13</v>
      </c>
      <c r="D66" s="127" t="s">
        <v>350</v>
      </c>
      <c r="E66" s="97" t="s">
        <v>15</v>
      </c>
      <c r="F66" s="97" t="s">
        <v>18</v>
      </c>
      <c r="G66" s="97" t="s">
        <v>16</v>
      </c>
      <c r="H66" s="97" t="s">
        <v>18</v>
      </c>
      <c r="I66" s="97" t="s">
        <v>17</v>
      </c>
      <c r="J66" s="128" t="s">
        <v>18</v>
      </c>
      <c r="K66" s="97" t="s">
        <v>17</v>
      </c>
      <c r="L66" s="12" t="s">
        <v>18</v>
      </c>
      <c r="M66" s="157" t="s">
        <v>516</v>
      </c>
      <c r="N66" s="62" t="s">
        <v>163</v>
      </c>
      <c r="P66" s="417"/>
    </row>
    <row r="67" spans="1:16" ht="15" customHeight="1" x14ac:dyDescent="0.2">
      <c r="A67" s="21"/>
      <c r="B67" s="21" t="s">
        <v>293</v>
      </c>
      <c r="C67" s="212">
        <v>24587855.940000001</v>
      </c>
      <c r="D67" s="215">
        <v>24724800.41</v>
      </c>
      <c r="E67" s="90">
        <v>24724800.41</v>
      </c>
      <c r="F67" s="497">
        <f t="shared" ref="F67:F84" si="11">+E67/D67</f>
        <v>1</v>
      </c>
      <c r="G67" s="90">
        <v>24724800.41</v>
      </c>
      <c r="H67" s="497">
        <f>+G67/D67</f>
        <v>1</v>
      </c>
      <c r="I67" s="90">
        <v>24724800.41</v>
      </c>
      <c r="J67" s="402">
        <f>I67/D67</f>
        <v>1</v>
      </c>
      <c r="K67" s="153">
        <v>23970847.16</v>
      </c>
      <c r="L67" s="53">
        <v>1</v>
      </c>
      <c r="M67" s="159">
        <f t="shared" ref="M67:M96" si="12">+I67/K67-1</f>
        <v>3.1452924670018145E-2</v>
      </c>
      <c r="N67" s="64" t="s">
        <v>364</v>
      </c>
      <c r="P67" s="416"/>
    </row>
    <row r="68" spans="1:16" ht="15" customHeight="1" x14ac:dyDescent="0.2">
      <c r="A68" s="23"/>
      <c r="B68" s="23" t="s">
        <v>294</v>
      </c>
      <c r="C68" s="212">
        <v>858841</v>
      </c>
      <c r="D68" s="215">
        <v>867511.29</v>
      </c>
      <c r="E68" s="90">
        <v>867511.29</v>
      </c>
      <c r="F68" s="498">
        <f t="shared" si="11"/>
        <v>1</v>
      </c>
      <c r="G68" s="90">
        <v>867511.29</v>
      </c>
      <c r="H68" s="498">
        <f t="shared" ref="H68:H87" si="13">+G68/D68</f>
        <v>1</v>
      </c>
      <c r="I68" s="90">
        <v>653670.29</v>
      </c>
      <c r="J68" s="513">
        <f t="shared" ref="J68:J87" si="14">I68/D68</f>
        <v>0.75350061438393501</v>
      </c>
      <c r="K68" s="150">
        <v>858841</v>
      </c>
      <c r="L68" s="55">
        <v>1</v>
      </c>
      <c r="M68" s="159">
        <f t="shared" si="12"/>
        <v>-0.23889254239143209</v>
      </c>
      <c r="N68" s="64" t="s">
        <v>365</v>
      </c>
      <c r="P68" s="416"/>
    </row>
    <row r="69" spans="1:16" ht="15" customHeight="1" x14ac:dyDescent="0.2">
      <c r="A69" s="23"/>
      <c r="B69" s="23" t="s">
        <v>295</v>
      </c>
      <c r="C69" s="212">
        <v>43098862</v>
      </c>
      <c r="D69" s="215">
        <v>47349316.630000003</v>
      </c>
      <c r="E69" s="90">
        <v>45699316.630000003</v>
      </c>
      <c r="F69" s="498">
        <f t="shared" si="11"/>
        <v>0.9651526121719235</v>
      </c>
      <c r="G69" s="90">
        <v>45699316.630000003</v>
      </c>
      <c r="H69" s="498">
        <f t="shared" si="13"/>
        <v>0.9651526121719235</v>
      </c>
      <c r="I69" s="90">
        <v>45281652.190000005</v>
      </c>
      <c r="J69" s="513">
        <f t="shared" si="14"/>
        <v>0.95633169415818031</v>
      </c>
      <c r="K69" s="150">
        <v>38244742</v>
      </c>
      <c r="L69" s="55">
        <v>0.91667347175575642</v>
      </c>
      <c r="M69" s="159">
        <f t="shared" si="12"/>
        <v>0.18399680118119255</v>
      </c>
      <c r="N69" s="64" t="s">
        <v>366</v>
      </c>
      <c r="P69" s="416"/>
    </row>
    <row r="70" spans="1:16" ht="15" customHeight="1" x14ac:dyDescent="0.2">
      <c r="A70" s="23"/>
      <c r="B70" s="23" t="s">
        <v>296</v>
      </c>
      <c r="C70" s="212">
        <v>32481396.359999999</v>
      </c>
      <c r="D70" s="215">
        <v>44491876.420000002</v>
      </c>
      <c r="E70" s="90">
        <v>44017326.470000006</v>
      </c>
      <c r="F70" s="498">
        <f t="shared" si="11"/>
        <v>0.98933400907796565</v>
      </c>
      <c r="G70" s="90">
        <v>44017326.470000006</v>
      </c>
      <c r="H70" s="498">
        <f t="shared" si="13"/>
        <v>0.98933400907796565</v>
      </c>
      <c r="I70" s="90">
        <v>41583083.340000004</v>
      </c>
      <c r="J70" s="513">
        <f t="shared" si="14"/>
        <v>0.93462192844956216</v>
      </c>
      <c r="K70" s="150">
        <v>32805590.290000003</v>
      </c>
      <c r="L70" s="55">
        <v>0.97512459820120179</v>
      </c>
      <c r="M70" s="159">
        <f t="shared" si="12"/>
        <v>0.26756089350648282</v>
      </c>
      <c r="N70" s="64" t="s">
        <v>524</v>
      </c>
      <c r="P70" s="417"/>
    </row>
    <row r="71" spans="1:16" ht="15" customHeight="1" x14ac:dyDescent="0.2">
      <c r="A71" s="23"/>
      <c r="B71" s="23" t="s">
        <v>297</v>
      </c>
      <c r="C71" s="212">
        <v>97214659.010000005</v>
      </c>
      <c r="D71" s="215">
        <v>115931626.73</v>
      </c>
      <c r="E71" s="90">
        <v>115629659.01000001</v>
      </c>
      <c r="F71" s="498">
        <f t="shared" si="11"/>
        <v>0.99739529472226529</v>
      </c>
      <c r="G71" s="90">
        <v>115629659.01000001</v>
      </c>
      <c r="H71" s="498">
        <f t="shared" si="13"/>
        <v>0.99739529472226529</v>
      </c>
      <c r="I71" s="90">
        <v>113779659.01000001</v>
      </c>
      <c r="J71" s="513">
        <f t="shared" si="14"/>
        <v>0.98143761300777876</v>
      </c>
      <c r="K71" s="150">
        <v>94975413.060000002</v>
      </c>
      <c r="L71" s="55">
        <v>1</v>
      </c>
      <c r="M71" s="159">
        <f t="shared" si="12"/>
        <v>0.1979906729978691</v>
      </c>
      <c r="N71" s="64" t="s">
        <v>451</v>
      </c>
      <c r="P71" s="416"/>
    </row>
    <row r="72" spans="1:16" ht="15" customHeight="1" x14ac:dyDescent="0.2">
      <c r="A72" s="23"/>
      <c r="B72" s="23" t="s">
        <v>298</v>
      </c>
      <c r="C72" s="212">
        <v>2215090.08</v>
      </c>
      <c r="D72" s="215">
        <v>1659052.99</v>
      </c>
      <c r="E72" s="90">
        <v>1659052.99</v>
      </c>
      <c r="F72" s="498">
        <f t="shared" si="11"/>
        <v>1</v>
      </c>
      <c r="G72" s="90">
        <v>1659052.99</v>
      </c>
      <c r="H72" s="498">
        <f t="shared" si="13"/>
        <v>1</v>
      </c>
      <c r="I72" s="90">
        <v>1659052.99</v>
      </c>
      <c r="J72" s="513">
        <f t="shared" si="14"/>
        <v>1</v>
      </c>
      <c r="K72" s="150">
        <v>1597510</v>
      </c>
      <c r="L72" s="55">
        <v>0.72696369982389164</v>
      </c>
      <c r="M72" s="159">
        <f t="shared" si="12"/>
        <v>3.8524322226464847E-2</v>
      </c>
      <c r="N72" s="64" t="s">
        <v>367</v>
      </c>
      <c r="P72" s="416"/>
    </row>
    <row r="73" spans="1:16" ht="15" customHeight="1" x14ac:dyDescent="0.2">
      <c r="A73" s="23"/>
      <c r="B73" s="23" t="s">
        <v>299</v>
      </c>
      <c r="C73" s="212">
        <v>7713147</v>
      </c>
      <c r="D73" s="215">
        <v>7800060</v>
      </c>
      <c r="E73" s="90">
        <v>7763760</v>
      </c>
      <c r="F73" s="498">
        <f t="shared" si="11"/>
        <v>0.99534618964469501</v>
      </c>
      <c r="G73" s="90">
        <v>7763760</v>
      </c>
      <c r="H73" s="498">
        <f t="shared" si="13"/>
        <v>0.99534618964469501</v>
      </c>
      <c r="I73" s="90">
        <v>4850613</v>
      </c>
      <c r="J73" s="513">
        <f t="shared" si="14"/>
        <v>0.62186867793324663</v>
      </c>
      <c r="K73" s="150">
        <v>4713147</v>
      </c>
      <c r="L73" s="55">
        <v>1</v>
      </c>
      <c r="M73" s="159">
        <f t="shared" si="12"/>
        <v>2.9166499580853378E-2</v>
      </c>
      <c r="N73" s="64" t="s">
        <v>368</v>
      </c>
      <c r="P73" s="416"/>
    </row>
    <row r="74" spans="1:16" ht="15" customHeight="1" x14ac:dyDescent="0.2">
      <c r="A74" s="23"/>
      <c r="B74" s="23" t="s">
        <v>300</v>
      </c>
      <c r="C74" s="212">
        <v>22591226.289999999</v>
      </c>
      <c r="D74" s="215">
        <v>23880249.300000001</v>
      </c>
      <c r="E74" s="90">
        <v>23849258.289999999</v>
      </c>
      <c r="F74" s="498">
        <f t="shared" si="11"/>
        <v>0.99870223256002599</v>
      </c>
      <c r="G74" s="90">
        <v>23849258.289999999</v>
      </c>
      <c r="H74" s="498">
        <f t="shared" si="13"/>
        <v>0.99870223256002599</v>
      </c>
      <c r="I74" s="90">
        <v>23849258.289999999</v>
      </c>
      <c r="J74" s="513">
        <f t="shared" si="14"/>
        <v>0.99870223256002599</v>
      </c>
      <c r="K74" s="150">
        <v>22661454.800000001</v>
      </c>
      <c r="L74" s="55">
        <v>1</v>
      </c>
      <c r="M74" s="159">
        <f t="shared" si="12"/>
        <v>5.2415147239355475E-2</v>
      </c>
      <c r="N74" s="64" t="s">
        <v>369</v>
      </c>
      <c r="P74" s="416"/>
    </row>
    <row r="75" spans="1:16" ht="15" customHeight="1" x14ac:dyDescent="0.2">
      <c r="A75" s="70"/>
      <c r="B75" s="70" t="s">
        <v>301</v>
      </c>
      <c r="C75" s="472">
        <v>8663077.6099999994</v>
      </c>
      <c r="D75" s="216">
        <v>9603702.7800000012</v>
      </c>
      <c r="E75" s="66">
        <v>9572192.6900000013</v>
      </c>
      <c r="F75" s="499">
        <f t="shared" si="11"/>
        <v>0.99671896447424213</v>
      </c>
      <c r="G75" s="66">
        <v>9572192.6900000013</v>
      </c>
      <c r="H75" s="499">
        <f t="shared" si="13"/>
        <v>0.99671896447424213</v>
      </c>
      <c r="I75" s="66">
        <v>9572192.6900000013</v>
      </c>
      <c r="J75" s="514">
        <f t="shared" si="14"/>
        <v>0.99671896447424213</v>
      </c>
      <c r="K75" s="71">
        <v>8013949.8399999999</v>
      </c>
      <c r="L75" s="72">
        <v>0.93694729628182494</v>
      </c>
      <c r="M75" s="206">
        <f t="shared" si="12"/>
        <v>0.19444130311651686</v>
      </c>
      <c r="N75" s="376" t="s">
        <v>370</v>
      </c>
      <c r="P75" s="416"/>
    </row>
    <row r="76" spans="1:16" ht="15" customHeight="1" x14ac:dyDescent="0.2">
      <c r="A76" s="73"/>
      <c r="B76" s="73" t="s">
        <v>302</v>
      </c>
      <c r="C76" s="215">
        <v>103023093</v>
      </c>
      <c r="D76" s="215">
        <v>105679041.61</v>
      </c>
      <c r="E76" s="90">
        <v>105679041.61</v>
      </c>
      <c r="F76" s="422">
        <f t="shared" si="11"/>
        <v>1</v>
      </c>
      <c r="G76" s="90">
        <v>105679041.61</v>
      </c>
      <c r="H76" s="422">
        <f t="shared" si="13"/>
        <v>1</v>
      </c>
      <c r="I76" s="90">
        <v>105486041.61</v>
      </c>
      <c r="J76" s="319">
        <f t="shared" si="14"/>
        <v>0.99817371545900035</v>
      </c>
      <c r="K76" s="90">
        <v>103385126.3</v>
      </c>
      <c r="L76" s="79">
        <v>1</v>
      </c>
      <c r="M76" s="158">
        <f t="shared" si="12"/>
        <v>2.0321253019545793E-2</v>
      </c>
      <c r="N76" s="377" t="s">
        <v>429</v>
      </c>
      <c r="P76" s="416"/>
    </row>
    <row r="77" spans="1:16" ht="15" customHeight="1" x14ac:dyDescent="0.2">
      <c r="A77" s="75"/>
      <c r="B77" s="75" t="s">
        <v>303</v>
      </c>
      <c r="C77" s="215">
        <v>47794228</v>
      </c>
      <c r="D77" s="215">
        <v>47494228</v>
      </c>
      <c r="E77" s="90">
        <v>47494228</v>
      </c>
      <c r="F77" s="500">
        <f t="shared" si="11"/>
        <v>1</v>
      </c>
      <c r="G77" s="90">
        <v>47494228</v>
      </c>
      <c r="H77" s="500">
        <f t="shared" si="13"/>
        <v>1</v>
      </c>
      <c r="I77" s="90">
        <v>39500000</v>
      </c>
      <c r="J77" s="515">
        <f t="shared" si="14"/>
        <v>0.83168000962137967</v>
      </c>
      <c r="K77" s="76">
        <v>46394228</v>
      </c>
      <c r="L77" s="80">
        <v>1</v>
      </c>
      <c r="M77" s="159">
        <f t="shared" si="12"/>
        <v>-0.14860098545017286</v>
      </c>
      <c r="N77" s="64" t="s">
        <v>371</v>
      </c>
      <c r="P77" s="416"/>
    </row>
    <row r="78" spans="1:16" ht="15" customHeight="1" x14ac:dyDescent="0.2">
      <c r="A78" s="75"/>
      <c r="B78" s="75" t="s">
        <v>304</v>
      </c>
      <c r="C78" s="215">
        <v>2040648.37</v>
      </c>
      <c r="D78" s="215">
        <v>5079695.5599999996</v>
      </c>
      <c r="E78" s="90">
        <v>5065439.95</v>
      </c>
      <c r="F78" s="500">
        <f t="shared" si="11"/>
        <v>0.99719360937449575</v>
      </c>
      <c r="G78" s="90">
        <v>5065439.95</v>
      </c>
      <c r="H78" s="500">
        <f t="shared" si="13"/>
        <v>0.99719360937449575</v>
      </c>
      <c r="I78" s="90">
        <v>2715427.25</v>
      </c>
      <c r="J78" s="515">
        <f t="shared" si="14"/>
        <v>0.53456495924334491</v>
      </c>
      <c r="K78" s="76">
        <v>4988534.3</v>
      </c>
      <c r="L78" s="80">
        <v>0.99503457921351091</v>
      </c>
      <c r="M78" s="159">
        <f t="shared" si="12"/>
        <v>-0.45566631665737967</v>
      </c>
      <c r="N78" s="64" t="s">
        <v>372</v>
      </c>
      <c r="P78" s="416"/>
    </row>
    <row r="79" spans="1:16" ht="15" customHeight="1" x14ac:dyDescent="0.2">
      <c r="A79" s="77"/>
      <c r="B79" s="77" t="s">
        <v>305</v>
      </c>
      <c r="C79" s="472">
        <v>617526</v>
      </c>
      <c r="D79" s="216">
        <v>906006.26</v>
      </c>
      <c r="E79" s="66">
        <v>835351</v>
      </c>
      <c r="F79" s="501">
        <f t="shared" si="11"/>
        <v>0.92201460064966878</v>
      </c>
      <c r="G79" s="66">
        <v>835351</v>
      </c>
      <c r="H79" s="501">
        <f t="shared" si="13"/>
        <v>0.92201460064966878</v>
      </c>
      <c r="I79" s="66">
        <v>835351</v>
      </c>
      <c r="J79" s="516">
        <f t="shared" si="14"/>
        <v>0.92201460064966878</v>
      </c>
      <c r="K79" s="78">
        <v>617526</v>
      </c>
      <c r="L79" s="81">
        <v>1</v>
      </c>
      <c r="M79" s="159">
        <f t="shared" si="12"/>
        <v>0.35273818430317094</v>
      </c>
      <c r="N79" s="64" t="s">
        <v>373</v>
      </c>
      <c r="P79" s="416"/>
    </row>
    <row r="80" spans="1:16" ht="15" customHeight="1" x14ac:dyDescent="0.2">
      <c r="A80" s="73"/>
      <c r="B80" s="73" t="s">
        <v>306</v>
      </c>
      <c r="C80" s="215">
        <v>30350633.390000001</v>
      </c>
      <c r="D80" s="215">
        <v>39137236.609999999</v>
      </c>
      <c r="E80" s="90">
        <v>38247276.149999999</v>
      </c>
      <c r="F80" s="422">
        <f t="shared" si="11"/>
        <v>0.97726051870068398</v>
      </c>
      <c r="G80" s="90">
        <v>38247276.149999999</v>
      </c>
      <c r="H80" s="422">
        <f t="shared" si="13"/>
        <v>0.97726051870068398</v>
      </c>
      <c r="I80" s="90">
        <v>38234076.619999997</v>
      </c>
      <c r="J80" s="274">
        <f t="shared" si="14"/>
        <v>0.97692325600297403</v>
      </c>
      <c r="K80" s="74">
        <v>32850604.039999999</v>
      </c>
      <c r="L80" s="79">
        <v>0.93899017061611023</v>
      </c>
      <c r="M80" s="200">
        <f t="shared" si="12"/>
        <v>0.16387743048635883</v>
      </c>
      <c r="N80" s="378" t="s">
        <v>454</v>
      </c>
      <c r="P80" s="416"/>
    </row>
    <row r="81" spans="1:16" ht="15" customHeight="1" x14ac:dyDescent="0.2">
      <c r="A81" s="75"/>
      <c r="B81" s="75" t="s">
        <v>307</v>
      </c>
      <c r="C81" s="215">
        <v>17159000</v>
      </c>
      <c r="D81" s="215">
        <v>17159000</v>
      </c>
      <c r="E81" s="90">
        <v>17159000</v>
      </c>
      <c r="F81" s="500">
        <f t="shared" si="11"/>
        <v>1</v>
      </c>
      <c r="G81" s="90">
        <v>17159000</v>
      </c>
      <c r="H81" s="500">
        <f t="shared" si="13"/>
        <v>1</v>
      </c>
      <c r="I81" s="90">
        <v>17159000</v>
      </c>
      <c r="J81" s="515">
        <f t="shared" si="14"/>
        <v>1</v>
      </c>
      <c r="K81" s="76">
        <v>15625000</v>
      </c>
      <c r="L81" s="80">
        <v>0.91060085086543507</v>
      </c>
      <c r="M81" s="201">
        <f t="shared" si="12"/>
        <v>9.8176000000000041E-2</v>
      </c>
      <c r="N81" s="64" t="s">
        <v>374</v>
      </c>
      <c r="P81" s="416"/>
    </row>
    <row r="82" spans="1:16" ht="15" customHeight="1" x14ac:dyDescent="0.2">
      <c r="A82" s="75"/>
      <c r="B82" s="75" t="s">
        <v>308</v>
      </c>
      <c r="C82" s="215">
        <v>52736587</v>
      </c>
      <c r="D82" s="215">
        <v>54654218.299999997</v>
      </c>
      <c r="E82" s="90">
        <v>2967388.93</v>
      </c>
      <c r="F82" s="500">
        <f t="shared" si="11"/>
        <v>5.4293868292321738E-2</v>
      </c>
      <c r="G82" s="90">
        <v>2967388.93</v>
      </c>
      <c r="H82" s="500">
        <f t="shared" si="13"/>
        <v>5.4293868292321738E-2</v>
      </c>
      <c r="I82" s="90">
        <v>2067388.93</v>
      </c>
      <c r="J82" s="515">
        <f t="shared" si="14"/>
        <v>3.7826703853890815E-2</v>
      </c>
      <c r="K82" s="76">
        <v>981387.37</v>
      </c>
      <c r="L82" s="80">
        <v>1.8337659325180399E-2</v>
      </c>
      <c r="M82" s="201" t="s">
        <v>129</v>
      </c>
      <c r="N82" s="63" t="s">
        <v>375</v>
      </c>
      <c r="P82" s="416"/>
    </row>
    <row r="83" spans="1:16" ht="15" customHeight="1" x14ac:dyDescent="0.2">
      <c r="A83" s="75"/>
      <c r="B83" s="75" t="s">
        <v>309</v>
      </c>
      <c r="C83" s="215">
        <v>2726590</v>
      </c>
      <c r="D83" s="215">
        <v>2726590</v>
      </c>
      <c r="E83" s="90">
        <v>2726590</v>
      </c>
      <c r="F83" s="500">
        <f t="shared" si="11"/>
        <v>1</v>
      </c>
      <c r="G83" s="90">
        <v>2726590</v>
      </c>
      <c r="H83" s="500">
        <f t="shared" si="13"/>
        <v>1</v>
      </c>
      <c r="I83" s="90">
        <v>2726590</v>
      </c>
      <c r="J83" s="515">
        <f t="shared" si="14"/>
        <v>1</v>
      </c>
      <c r="K83" s="76">
        <v>2726590</v>
      </c>
      <c r="L83" s="80">
        <v>1</v>
      </c>
      <c r="M83" s="201">
        <f t="shared" si="12"/>
        <v>0</v>
      </c>
      <c r="N83" s="64" t="s">
        <v>376</v>
      </c>
      <c r="P83" s="416"/>
    </row>
    <row r="84" spans="1:16" ht="15" customHeight="1" x14ac:dyDescent="0.2">
      <c r="A84" s="75"/>
      <c r="B84" s="75" t="s">
        <v>310</v>
      </c>
      <c r="C84" s="215">
        <v>2730474</v>
      </c>
      <c r="D84" s="215">
        <v>3382498.46</v>
      </c>
      <c r="E84" s="90">
        <v>3038302.07</v>
      </c>
      <c r="F84" s="500">
        <f t="shared" si="11"/>
        <v>0.89824196697490877</v>
      </c>
      <c r="G84" s="90">
        <v>3038302.07</v>
      </c>
      <c r="H84" s="500">
        <f t="shared" si="13"/>
        <v>0.89824196697490877</v>
      </c>
      <c r="I84" s="90">
        <v>1644276.4</v>
      </c>
      <c r="J84" s="515">
        <f t="shared" si="14"/>
        <v>0.48611297815638915</v>
      </c>
      <c r="K84" s="76">
        <v>2315836.4700000002</v>
      </c>
      <c r="L84" s="80">
        <v>0.8257302147327561</v>
      </c>
      <c r="M84" s="201">
        <f t="shared" si="12"/>
        <v>-0.28998596347349181</v>
      </c>
      <c r="N84" s="64" t="s">
        <v>377</v>
      </c>
      <c r="P84" s="416"/>
    </row>
    <row r="85" spans="1:16" ht="15" customHeight="1" x14ac:dyDescent="0.2">
      <c r="A85" s="75"/>
      <c r="B85" s="75" t="s">
        <v>311</v>
      </c>
      <c r="C85" s="215"/>
      <c r="D85" s="215"/>
      <c r="E85" s="90"/>
      <c r="F85" s="500" t="s">
        <v>129</v>
      </c>
      <c r="G85" s="90"/>
      <c r="H85" s="500" t="s">
        <v>129</v>
      </c>
      <c r="I85" s="90"/>
      <c r="J85" s="515" t="s">
        <v>129</v>
      </c>
      <c r="K85" s="76"/>
      <c r="L85" s="80" t="s">
        <v>129</v>
      </c>
      <c r="M85" s="201" t="s">
        <v>129</v>
      </c>
      <c r="N85" s="64" t="s">
        <v>378</v>
      </c>
      <c r="P85" s="417"/>
    </row>
    <row r="86" spans="1:16" ht="15" customHeight="1" x14ac:dyDescent="0.2">
      <c r="A86" s="75"/>
      <c r="B86" s="75" t="s">
        <v>312</v>
      </c>
      <c r="C86" s="215"/>
      <c r="D86" s="215"/>
      <c r="E86" s="90"/>
      <c r="F86" s="500" t="s">
        <v>129</v>
      </c>
      <c r="G86" s="90"/>
      <c r="H86" s="500" t="s">
        <v>129</v>
      </c>
      <c r="I86" s="90"/>
      <c r="J86" s="515" t="s">
        <v>129</v>
      </c>
      <c r="K86" s="76"/>
      <c r="L86" s="80" t="s">
        <v>129</v>
      </c>
      <c r="M86" s="201" t="s">
        <v>129</v>
      </c>
      <c r="N86" s="64" t="s">
        <v>379</v>
      </c>
      <c r="P86" s="416"/>
    </row>
    <row r="87" spans="1:16" ht="15" customHeight="1" x14ac:dyDescent="0.2">
      <c r="A87" s="75"/>
      <c r="B87" s="75" t="s">
        <v>313</v>
      </c>
      <c r="C87" s="215">
        <v>4843478</v>
      </c>
      <c r="D87" s="215">
        <v>4917283.92</v>
      </c>
      <c r="E87" s="90">
        <v>4917283.92</v>
      </c>
      <c r="F87" s="500">
        <f t="shared" ref="F87" si="15">+E87/D87</f>
        <v>1</v>
      </c>
      <c r="G87" s="90">
        <v>4917283.92</v>
      </c>
      <c r="H87" s="500">
        <f t="shared" si="13"/>
        <v>1</v>
      </c>
      <c r="I87" s="90">
        <v>4917283.92</v>
      </c>
      <c r="J87" s="515">
        <f t="shared" si="14"/>
        <v>1</v>
      </c>
      <c r="K87" s="76">
        <v>4921209.6900000004</v>
      </c>
      <c r="L87" s="80">
        <v>0.98008448039938356</v>
      </c>
      <c r="M87" s="201">
        <f t="shared" si="12"/>
        <v>-7.9772459360505366E-4</v>
      </c>
      <c r="N87" s="64" t="s">
        <v>380</v>
      </c>
      <c r="P87" s="417"/>
    </row>
    <row r="88" spans="1:16" ht="15" customHeight="1" x14ac:dyDescent="0.2">
      <c r="A88" s="75"/>
      <c r="B88" s="75" t="s">
        <v>314</v>
      </c>
      <c r="C88" s="215">
        <v>0</v>
      </c>
      <c r="D88" s="215"/>
      <c r="E88" s="90"/>
      <c r="F88" s="500" t="s">
        <v>129</v>
      </c>
      <c r="G88" s="90"/>
      <c r="H88" s="500" t="s">
        <v>129</v>
      </c>
      <c r="I88" s="90"/>
      <c r="J88" s="515" t="s">
        <v>129</v>
      </c>
      <c r="K88" s="76"/>
      <c r="L88" s="80" t="s">
        <v>129</v>
      </c>
      <c r="M88" s="201" t="s">
        <v>129</v>
      </c>
      <c r="N88" s="64" t="s">
        <v>381</v>
      </c>
      <c r="P88" s="416"/>
    </row>
    <row r="89" spans="1:16" ht="15" customHeight="1" x14ac:dyDescent="0.2">
      <c r="A89" s="75"/>
      <c r="B89" s="82" t="s">
        <v>315</v>
      </c>
      <c r="C89" s="215"/>
      <c r="D89" s="215"/>
      <c r="E89" s="90"/>
      <c r="F89" s="500" t="s">
        <v>129</v>
      </c>
      <c r="G89" s="90"/>
      <c r="H89" s="500" t="s">
        <v>129</v>
      </c>
      <c r="I89" s="90"/>
      <c r="J89" s="515" t="s">
        <v>129</v>
      </c>
      <c r="K89" s="76"/>
      <c r="L89" s="80" t="s">
        <v>129</v>
      </c>
      <c r="M89" s="201" t="s">
        <v>129</v>
      </c>
      <c r="N89" s="64" t="s">
        <v>382</v>
      </c>
      <c r="P89" s="416"/>
    </row>
    <row r="90" spans="1:16" ht="15" customHeight="1" x14ac:dyDescent="0.2">
      <c r="A90" s="75"/>
      <c r="B90" s="82" t="s">
        <v>416</v>
      </c>
      <c r="C90" s="215"/>
      <c r="D90" s="215"/>
      <c r="E90" s="90"/>
      <c r="F90" s="500" t="s">
        <v>129</v>
      </c>
      <c r="G90" s="90"/>
      <c r="H90" s="500" t="s">
        <v>129</v>
      </c>
      <c r="I90" s="90"/>
      <c r="J90" s="515" t="s">
        <v>129</v>
      </c>
      <c r="K90" s="76"/>
      <c r="L90" s="80" t="s">
        <v>129</v>
      </c>
      <c r="M90" s="201" t="s">
        <v>129</v>
      </c>
      <c r="N90" s="64">
        <v>44438</v>
      </c>
      <c r="P90" s="416"/>
    </row>
    <row r="91" spans="1:16" ht="15" customHeight="1" x14ac:dyDescent="0.2">
      <c r="A91" s="75"/>
      <c r="B91" s="82" t="s">
        <v>455</v>
      </c>
      <c r="C91" s="215"/>
      <c r="D91" s="215"/>
      <c r="E91" s="90"/>
      <c r="F91" s="500" t="s">
        <v>129</v>
      </c>
      <c r="G91" s="90"/>
      <c r="H91" s="500" t="s">
        <v>129</v>
      </c>
      <c r="I91" s="90"/>
      <c r="J91" s="515" t="s">
        <v>129</v>
      </c>
      <c r="K91" s="76">
        <v>1962488.72</v>
      </c>
      <c r="L91" s="80">
        <v>1</v>
      </c>
      <c r="M91" s="201">
        <f t="shared" si="12"/>
        <v>-1</v>
      </c>
      <c r="N91" s="64" t="s">
        <v>473</v>
      </c>
      <c r="P91" s="416"/>
    </row>
    <row r="92" spans="1:16" ht="15" customHeight="1" x14ac:dyDescent="0.2">
      <c r="A92" s="75"/>
      <c r="B92" s="75" t="s">
        <v>316</v>
      </c>
      <c r="C92" s="215">
        <v>12029885</v>
      </c>
      <c r="D92" s="215"/>
      <c r="E92" s="90"/>
      <c r="F92" s="500" t="s">
        <v>129</v>
      </c>
      <c r="G92" s="90"/>
      <c r="H92" s="500" t="s">
        <v>129</v>
      </c>
      <c r="I92" s="90"/>
      <c r="J92" s="515" t="s">
        <v>129</v>
      </c>
      <c r="K92" s="76">
        <v>0</v>
      </c>
      <c r="L92" s="80">
        <v>0</v>
      </c>
      <c r="M92" s="201" t="s">
        <v>129</v>
      </c>
      <c r="N92" s="64" t="s">
        <v>384</v>
      </c>
      <c r="P92" s="417"/>
    </row>
    <row r="93" spans="1:16" ht="15" customHeight="1" x14ac:dyDescent="0.2">
      <c r="A93" s="75"/>
      <c r="B93" s="75" t="s">
        <v>317</v>
      </c>
      <c r="C93" s="210">
        <v>4129996.75</v>
      </c>
      <c r="D93" s="215">
        <v>12029885</v>
      </c>
      <c r="E93" s="90">
        <v>0</v>
      </c>
      <c r="F93" s="500">
        <f>+E93/D93</f>
        <v>0</v>
      </c>
      <c r="G93" s="76">
        <v>0</v>
      </c>
      <c r="H93" s="500">
        <f>+G93/D93</f>
        <v>0</v>
      </c>
      <c r="I93" s="76">
        <v>0</v>
      </c>
      <c r="J93" s="515">
        <f>I93/D93</f>
        <v>0</v>
      </c>
      <c r="K93" s="76">
        <v>2959843.92</v>
      </c>
      <c r="L93" s="80">
        <v>0.7393355021651683</v>
      </c>
      <c r="M93" s="201">
        <f t="shared" si="12"/>
        <v>-1</v>
      </c>
      <c r="N93" s="64" t="s">
        <v>385</v>
      </c>
      <c r="P93" s="417"/>
    </row>
    <row r="94" spans="1:16" ht="15" customHeight="1" x14ac:dyDescent="0.2">
      <c r="A94" s="87"/>
      <c r="B94" s="138" t="s">
        <v>383</v>
      </c>
      <c r="C94" s="215"/>
      <c r="D94" s="215">
        <v>3883860.49</v>
      </c>
      <c r="E94" s="90">
        <v>3883860.49</v>
      </c>
      <c r="F94" s="147" t="s">
        <v>129</v>
      </c>
      <c r="G94" s="90">
        <v>3883860.49</v>
      </c>
      <c r="H94" s="494" t="s">
        <v>129</v>
      </c>
      <c r="I94" s="90">
        <v>3236613.8</v>
      </c>
      <c r="J94" s="515" t="s">
        <v>129</v>
      </c>
      <c r="K94" s="76"/>
      <c r="L94" s="80" t="s">
        <v>129</v>
      </c>
      <c r="M94" s="201" t="s">
        <v>129</v>
      </c>
      <c r="N94" s="137" t="s">
        <v>386</v>
      </c>
      <c r="P94" s="417"/>
    </row>
    <row r="95" spans="1:16" ht="15" customHeight="1" x14ac:dyDescent="0.2">
      <c r="A95" s="77"/>
      <c r="B95" s="77" t="s">
        <v>318</v>
      </c>
      <c r="C95" s="211">
        <v>479279.81</v>
      </c>
      <c r="D95" s="216">
        <v>578549.01</v>
      </c>
      <c r="E95" s="78">
        <v>578549.01</v>
      </c>
      <c r="F95" s="501">
        <f>+E95/D95</f>
        <v>1</v>
      </c>
      <c r="G95" s="78">
        <v>578549.01</v>
      </c>
      <c r="H95" s="501">
        <f>+G95/D95</f>
        <v>1</v>
      </c>
      <c r="I95" s="78">
        <v>439495.72</v>
      </c>
      <c r="J95" s="516">
        <f>I95/D95</f>
        <v>0.75965166719410682</v>
      </c>
      <c r="K95" s="216">
        <v>371291.73</v>
      </c>
      <c r="L95" s="81">
        <v>0.79166680170575687</v>
      </c>
      <c r="M95" s="202" t="s">
        <v>129</v>
      </c>
      <c r="N95" s="64" t="s">
        <v>387</v>
      </c>
      <c r="P95" s="416"/>
    </row>
    <row r="96" spans="1:16" ht="15" customHeight="1" x14ac:dyDescent="0.2">
      <c r="A96" s="59"/>
      <c r="B96" s="59" t="s">
        <v>474</v>
      </c>
      <c r="C96" s="211">
        <v>8561000</v>
      </c>
      <c r="D96" s="215">
        <v>8711654.8399999999</v>
      </c>
      <c r="E96" s="90">
        <v>8665021.8900000006</v>
      </c>
      <c r="F96" s="502">
        <f>+E96/D96</f>
        <v>0.99464706179750351</v>
      </c>
      <c r="G96" s="88">
        <v>8665021.8900000006</v>
      </c>
      <c r="H96" s="501">
        <f>+G96/D96</f>
        <v>0.99464706179750351</v>
      </c>
      <c r="I96" s="60">
        <v>8304021.8899999997</v>
      </c>
      <c r="J96" s="516">
        <f>I96/D96</f>
        <v>0.95320832178424553</v>
      </c>
      <c r="K96" s="474">
        <v>19410000</v>
      </c>
      <c r="L96" s="69">
        <v>1</v>
      </c>
      <c r="M96" s="535">
        <f t="shared" si="12"/>
        <v>-0.57217816125708398</v>
      </c>
      <c r="N96" s="64">
        <v>44453</v>
      </c>
      <c r="P96" s="417"/>
    </row>
    <row r="97" spans="1:16" ht="15" customHeight="1" x14ac:dyDescent="0.2">
      <c r="A97" s="73"/>
      <c r="B97" s="271" t="s">
        <v>363</v>
      </c>
      <c r="C97" s="209"/>
      <c r="D97" s="272"/>
      <c r="E97" s="74"/>
      <c r="F97" s="273" t="s">
        <v>129</v>
      </c>
      <c r="G97" s="74"/>
      <c r="H97" s="273" t="s">
        <v>129</v>
      </c>
      <c r="I97" s="74"/>
      <c r="J97" s="274" t="s">
        <v>129</v>
      </c>
      <c r="K97" s="90"/>
      <c r="L97" s="115" t="s">
        <v>129</v>
      </c>
      <c r="M97" s="203" t="s">
        <v>129</v>
      </c>
      <c r="N97" s="64">
        <v>449</v>
      </c>
      <c r="P97" s="417"/>
    </row>
    <row r="98" spans="1:16" ht="15" customHeight="1" x14ac:dyDescent="0.2">
      <c r="A98" s="141"/>
      <c r="B98" s="142" t="s">
        <v>344</v>
      </c>
      <c r="C98" s="219">
        <f>SUM(C67:C97)</f>
        <v>528646574.61000001</v>
      </c>
      <c r="D98" s="557">
        <f>SUM(D67:D97)</f>
        <v>582647944.61000013</v>
      </c>
      <c r="E98" s="143">
        <f>SUM(E67:E97)</f>
        <v>515040210.80000001</v>
      </c>
      <c r="F98" s="503">
        <f>E98/D98</f>
        <v>0.88396469182560344</v>
      </c>
      <c r="G98" s="143">
        <f>SUM(G67:G97)</f>
        <v>515040210.80000001</v>
      </c>
      <c r="H98" s="507">
        <f>+G98/D98</f>
        <v>0.88396469182560344</v>
      </c>
      <c r="I98" s="143">
        <f>SUM(I67:I97)</f>
        <v>493219549.35000002</v>
      </c>
      <c r="J98" s="517">
        <f>I98/D98</f>
        <v>0.84651384066949775</v>
      </c>
      <c r="K98" s="143">
        <f>+SUM(K67:K97)</f>
        <v>467351161.69000012</v>
      </c>
      <c r="L98" s="144">
        <v>0.86199999999999999</v>
      </c>
      <c r="M98" s="281">
        <f>+I98/K98-1</f>
        <v>5.5351071700467269E-2</v>
      </c>
      <c r="P98" s="417"/>
    </row>
    <row r="99" spans="1:16" ht="15" customHeight="1" x14ac:dyDescent="0.2">
      <c r="A99" s="89"/>
      <c r="B99" s="275" t="s">
        <v>431</v>
      </c>
      <c r="C99" s="212">
        <v>4032000</v>
      </c>
      <c r="D99" s="556">
        <v>2055121</v>
      </c>
      <c r="E99" s="90">
        <v>55121</v>
      </c>
      <c r="F99" s="422">
        <f>+E99/D99</f>
        <v>2.6821291787685494E-2</v>
      </c>
      <c r="G99" s="90">
        <v>55121</v>
      </c>
      <c r="H99" s="422">
        <f>+G99/D99</f>
        <v>2.6821291787685494E-2</v>
      </c>
      <c r="I99" s="90">
        <v>0</v>
      </c>
      <c r="J99" s="319" t="s">
        <v>129</v>
      </c>
      <c r="K99" s="287">
        <v>4000000</v>
      </c>
      <c r="L99" s="115">
        <v>1</v>
      </c>
      <c r="M99" s="424" t="s">
        <v>129</v>
      </c>
      <c r="N99" s="137" t="s">
        <v>456</v>
      </c>
      <c r="P99" s="417"/>
    </row>
    <row r="100" spans="1:16" ht="15" customHeight="1" x14ac:dyDescent="0.2">
      <c r="A100" s="75"/>
      <c r="B100" s="276" t="s">
        <v>398</v>
      </c>
      <c r="C100" s="212">
        <v>40000</v>
      </c>
      <c r="D100" s="277">
        <v>71969.03</v>
      </c>
      <c r="E100" s="90">
        <v>65582.62</v>
      </c>
      <c r="F100" s="422">
        <f>+E100/D100</f>
        <v>0.91126169131361079</v>
      </c>
      <c r="G100" s="90">
        <v>65582.62</v>
      </c>
      <c r="H100" s="422">
        <f>+G100/D100</f>
        <v>0.91126169131361079</v>
      </c>
      <c r="I100" s="90">
        <v>33847.339999999997</v>
      </c>
      <c r="J100" s="319" t="s">
        <v>129</v>
      </c>
      <c r="K100" s="287"/>
      <c r="L100" s="309" t="s">
        <v>129</v>
      </c>
      <c r="M100" s="423"/>
      <c r="N100" s="137">
        <v>46101</v>
      </c>
      <c r="P100" s="417"/>
    </row>
    <row r="101" spans="1:16" ht="15" customHeight="1" x14ac:dyDescent="0.2">
      <c r="A101" s="75"/>
      <c r="B101" s="276" t="s">
        <v>413</v>
      </c>
      <c r="C101" s="212"/>
      <c r="D101" s="277"/>
      <c r="E101" s="90"/>
      <c r="F101" s="500" t="s">
        <v>129</v>
      </c>
      <c r="G101" s="90"/>
      <c r="H101" s="422" t="s">
        <v>129</v>
      </c>
      <c r="I101" s="90"/>
      <c r="J101" s="319" t="s">
        <v>129</v>
      </c>
      <c r="K101" s="76"/>
      <c r="L101" s="80" t="s">
        <v>129</v>
      </c>
      <c r="M101" s="201" t="s">
        <v>129</v>
      </c>
      <c r="N101" s="137">
        <v>46102</v>
      </c>
      <c r="P101" s="417"/>
    </row>
    <row r="102" spans="1:16" ht="15" customHeight="1" x14ac:dyDescent="0.2">
      <c r="A102" s="89"/>
      <c r="B102" s="275" t="s">
        <v>427</v>
      </c>
      <c r="C102" s="212"/>
      <c r="D102" s="277"/>
      <c r="E102" s="90"/>
      <c r="F102" s="500" t="s">
        <v>129</v>
      </c>
      <c r="G102" s="90"/>
      <c r="H102" s="422" t="s">
        <v>129</v>
      </c>
      <c r="I102" s="90"/>
      <c r="J102" s="319" t="s">
        <v>129</v>
      </c>
      <c r="K102" s="90"/>
      <c r="L102" s="115" t="s">
        <v>129</v>
      </c>
      <c r="M102" s="201" t="s">
        <v>129</v>
      </c>
      <c r="N102" s="137">
        <v>462</v>
      </c>
      <c r="P102" s="417"/>
    </row>
    <row r="103" spans="1:16" ht="15" customHeight="1" x14ac:dyDescent="0.2">
      <c r="A103" s="89"/>
      <c r="B103" s="89" t="s">
        <v>319</v>
      </c>
      <c r="C103" s="212"/>
      <c r="D103" s="277"/>
      <c r="E103" s="90"/>
      <c r="F103" s="86" t="s">
        <v>129</v>
      </c>
      <c r="G103" s="90"/>
      <c r="H103" s="86" t="s">
        <v>129</v>
      </c>
      <c r="I103" s="90"/>
      <c r="J103" s="190" t="s">
        <v>129</v>
      </c>
      <c r="K103" s="90"/>
      <c r="L103" s="115" t="s">
        <v>129</v>
      </c>
      <c r="M103" s="201" t="s">
        <v>129</v>
      </c>
      <c r="N103" s="64">
        <v>463</v>
      </c>
      <c r="P103" s="417"/>
    </row>
    <row r="104" spans="1:16" ht="15" customHeight="1" x14ac:dyDescent="0.2">
      <c r="A104" s="75"/>
      <c r="B104" s="75" t="s">
        <v>320</v>
      </c>
      <c r="C104" s="212">
        <v>54878421</v>
      </c>
      <c r="D104" s="277">
        <v>54878421</v>
      </c>
      <c r="E104" s="90">
        <v>54878421</v>
      </c>
      <c r="F104" s="500">
        <f t="shared" ref="F104:F113" si="16">+E104/D104</f>
        <v>1</v>
      </c>
      <c r="G104" s="90">
        <v>54878421</v>
      </c>
      <c r="H104" s="500">
        <f t="shared" ref="H104:H109" si="17">+G104/D104</f>
        <v>1</v>
      </c>
      <c r="I104" s="90">
        <v>48530356.109999999</v>
      </c>
      <c r="J104" s="515">
        <f t="shared" ref="J104:J111" si="18">I104/D104</f>
        <v>0.88432493547873758</v>
      </c>
      <c r="K104" s="76">
        <v>41377804.420000002</v>
      </c>
      <c r="L104" s="80">
        <v>0.75398403838312289</v>
      </c>
      <c r="M104" s="201">
        <f t="shared" ref="M104" si="19">+I104/K104-1</f>
        <v>0.17285962342029926</v>
      </c>
      <c r="N104" s="64">
        <v>46401</v>
      </c>
      <c r="P104" s="417"/>
    </row>
    <row r="105" spans="1:16" ht="15" customHeight="1" x14ac:dyDescent="0.2">
      <c r="A105" s="75"/>
      <c r="B105" s="75" t="s">
        <v>321</v>
      </c>
      <c r="C105" s="212">
        <v>910000</v>
      </c>
      <c r="D105" s="277">
        <v>1997000</v>
      </c>
      <c r="E105" s="90">
        <v>1891160.19</v>
      </c>
      <c r="F105" s="500">
        <f t="shared" si="16"/>
        <v>0.94700059589384078</v>
      </c>
      <c r="G105" s="90">
        <v>1891160.19</v>
      </c>
      <c r="H105" s="500">
        <f t="shared" si="17"/>
        <v>0.94700059589384078</v>
      </c>
      <c r="I105" s="90">
        <v>1891160.19</v>
      </c>
      <c r="J105" s="515">
        <f t="shared" si="18"/>
        <v>0.94700059589384078</v>
      </c>
      <c r="K105" s="76">
        <v>910000</v>
      </c>
      <c r="L105" s="80">
        <v>1</v>
      </c>
      <c r="M105" s="201" t="s">
        <v>129</v>
      </c>
      <c r="N105" s="64">
        <v>46410</v>
      </c>
      <c r="P105" s="417"/>
    </row>
    <row r="106" spans="1:16" ht="15" customHeight="1" x14ac:dyDescent="0.2">
      <c r="A106" s="77"/>
      <c r="B106" s="77" t="s">
        <v>322</v>
      </c>
      <c r="C106" s="211">
        <v>89194580.229999989</v>
      </c>
      <c r="D106" s="473">
        <v>92456766.980000004</v>
      </c>
      <c r="E106" s="90">
        <v>89392069.569999993</v>
      </c>
      <c r="F106" s="501">
        <f t="shared" si="16"/>
        <v>0.96685264356406753</v>
      </c>
      <c r="G106" s="90">
        <v>89392069.569999993</v>
      </c>
      <c r="H106" s="501">
        <f t="shared" si="17"/>
        <v>0.96685264356406753</v>
      </c>
      <c r="I106" s="90">
        <v>86070411.170000002</v>
      </c>
      <c r="J106" s="516">
        <f t="shared" si="18"/>
        <v>0.93092603149987407</v>
      </c>
      <c r="K106" s="78">
        <v>88717281.840000004</v>
      </c>
      <c r="L106" s="81">
        <v>0.99890116053355771</v>
      </c>
      <c r="M106" s="202">
        <f>+I106/K106-1</f>
        <v>-2.9834893665628637E-2</v>
      </c>
      <c r="N106" s="64" t="s">
        <v>328</v>
      </c>
      <c r="P106" s="417"/>
    </row>
    <row r="107" spans="1:16" ht="15" customHeight="1" x14ac:dyDescent="0.2">
      <c r="A107" s="67"/>
      <c r="B107" s="67" t="s">
        <v>323</v>
      </c>
      <c r="C107" s="472">
        <v>5830790</v>
      </c>
      <c r="D107" s="474">
        <v>5830790</v>
      </c>
      <c r="E107" s="68">
        <v>5830790</v>
      </c>
      <c r="F107" s="504">
        <f t="shared" si="16"/>
        <v>1</v>
      </c>
      <c r="G107" s="68">
        <v>5830790</v>
      </c>
      <c r="H107" s="504">
        <f t="shared" si="17"/>
        <v>1</v>
      </c>
      <c r="I107" s="68">
        <v>5830790</v>
      </c>
      <c r="J107" s="518">
        <f t="shared" si="18"/>
        <v>1</v>
      </c>
      <c r="K107" s="68">
        <v>5830790</v>
      </c>
      <c r="L107" s="69">
        <v>1</v>
      </c>
      <c r="M107" s="203"/>
      <c r="N107" s="64">
        <v>465</v>
      </c>
      <c r="P107" s="417"/>
    </row>
    <row r="108" spans="1:16" ht="15" customHeight="1" x14ac:dyDescent="0.2">
      <c r="A108" s="73"/>
      <c r="B108" s="73" t="s">
        <v>324</v>
      </c>
      <c r="C108" s="210">
        <v>116594341</v>
      </c>
      <c r="D108" s="215">
        <v>115631786.62</v>
      </c>
      <c r="E108" s="76">
        <v>115631786.62</v>
      </c>
      <c r="F108" s="422">
        <f t="shared" si="16"/>
        <v>1</v>
      </c>
      <c r="G108" s="76">
        <v>115631786.62</v>
      </c>
      <c r="H108" s="422">
        <f t="shared" si="17"/>
        <v>1</v>
      </c>
      <c r="I108" s="76">
        <v>115631786.62</v>
      </c>
      <c r="J108" s="274">
        <f t="shared" si="18"/>
        <v>1</v>
      </c>
      <c r="K108" s="74">
        <v>90174325</v>
      </c>
      <c r="L108" s="79">
        <v>1</v>
      </c>
      <c r="M108" s="200">
        <f>+I108/K108-1</f>
        <v>0.28231385840703549</v>
      </c>
      <c r="N108" s="64">
        <v>46701</v>
      </c>
      <c r="P108" s="417"/>
    </row>
    <row r="109" spans="1:16" ht="15" customHeight="1" x14ac:dyDescent="0.2">
      <c r="A109" s="75"/>
      <c r="B109" s="75" t="s">
        <v>325</v>
      </c>
      <c r="C109" s="210">
        <v>59615875.520000003</v>
      </c>
      <c r="D109" s="215">
        <v>69897732.560000002</v>
      </c>
      <c r="E109" s="76">
        <v>69247708.989999995</v>
      </c>
      <c r="F109" s="500">
        <f t="shared" si="16"/>
        <v>0.99070036256981542</v>
      </c>
      <c r="G109" s="76">
        <v>69247708.989999995</v>
      </c>
      <c r="H109" s="500">
        <f t="shared" si="17"/>
        <v>0.99070036256981542</v>
      </c>
      <c r="I109" s="76">
        <v>69247708.989999995</v>
      </c>
      <c r="J109" s="515">
        <f t="shared" si="18"/>
        <v>0.99070036256981542</v>
      </c>
      <c r="K109" s="76">
        <v>61113163.25</v>
      </c>
      <c r="L109" s="80">
        <v>0.96559227173401807</v>
      </c>
      <c r="M109" s="201">
        <f>+I109/K109-1</f>
        <v>0.13310627870338543</v>
      </c>
      <c r="N109" s="64">
        <v>46703</v>
      </c>
      <c r="P109" s="417"/>
    </row>
    <row r="110" spans="1:16" ht="15" customHeight="1" x14ac:dyDescent="0.2">
      <c r="A110" s="75"/>
      <c r="B110" s="75" t="s">
        <v>336</v>
      </c>
      <c r="C110" s="210"/>
      <c r="D110" s="215"/>
      <c r="E110" s="76"/>
      <c r="F110" s="500" t="s">
        <v>129</v>
      </c>
      <c r="G110" s="76"/>
      <c r="H110" s="500" t="s">
        <v>129</v>
      </c>
      <c r="I110" s="76"/>
      <c r="J110" s="515" t="s">
        <v>129</v>
      </c>
      <c r="K110" s="76"/>
      <c r="L110" s="80"/>
      <c r="M110" s="201"/>
      <c r="N110" s="64" t="s">
        <v>395</v>
      </c>
      <c r="P110" s="417"/>
    </row>
    <row r="111" spans="1:16" ht="15" customHeight="1" x14ac:dyDescent="0.2">
      <c r="A111" s="75"/>
      <c r="B111" s="75" t="s">
        <v>337</v>
      </c>
      <c r="C111" s="210">
        <v>1514016</v>
      </c>
      <c r="D111" s="215">
        <v>1902592.94</v>
      </c>
      <c r="E111" s="76">
        <v>1827592.94</v>
      </c>
      <c r="F111" s="500">
        <f t="shared" si="16"/>
        <v>0.96058011231766682</v>
      </c>
      <c r="G111" s="76">
        <v>1827592.94</v>
      </c>
      <c r="H111" s="500">
        <f t="shared" ref="H111:H113" si="20">+G111/D111</f>
        <v>0.96058011231766682</v>
      </c>
      <c r="I111" s="76">
        <v>1827592.94</v>
      </c>
      <c r="J111" s="515">
        <f t="shared" si="18"/>
        <v>0.96058011231766682</v>
      </c>
      <c r="K111" s="76">
        <v>1627000</v>
      </c>
      <c r="L111" s="80">
        <v>0.97018485390578413</v>
      </c>
      <c r="M111" s="201">
        <f>+I111/K111-1</f>
        <v>0.12329006760909644</v>
      </c>
      <c r="N111" s="64" t="s">
        <v>396</v>
      </c>
      <c r="P111" s="417"/>
    </row>
    <row r="112" spans="1:16" ht="15" customHeight="1" x14ac:dyDescent="0.2">
      <c r="A112" s="75"/>
      <c r="B112" s="75" t="s">
        <v>335</v>
      </c>
      <c r="C112" s="210">
        <v>271003.62</v>
      </c>
      <c r="D112" s="215">
        <v>271003.62</v>
      </c>
      <c r="E112" s="76">
        <v>271003.62</v>
      </c>
      <c r="F112" s="500">
        <f t="shared" si="16"/>
        <v>1</v>
      </c>
      <c r="G112" s="76">
        <v>271003.62</v>
      </c>
      <c r="H112" s="500">
        <f t="shared" si="20"/>
        <v>1</v>
      </c>
      <c r="I112" s="76">
        <v>271003.62</v>
      </c>
      <c r="J112" s="515">
        <f>I112/D112</f>
        <v>1</v>
      </c>
      <c r="K112" s="76">
        <v>268852</v>
      </c>
      <c r="L112" s="80">
        <v>0.99999702439401783</v>
      </c>
      <c r="M112" s="201"/>
      <c r="N112" s="64" t="s">
        <v>391</v>
      </c>
      <c r="P112" s="417"/>
    </row>
    <row r="113" spans="1:16" ht="15" customHeight="1" x14ac:dyDescent="0.2">
      <c r="A113" s="75"/>
      <c r="B113" s="75" t="s">
        <v>332</v>
      </c>
      <c r="C113" s="210">
        <v>15540453.550000001</v>
      </c>
      <c r="D113" s="215">
        <v>15532853.23</v>
      </c>
      <c r="E113" s="76">
        <v>15409576.619999999</v>
      </c>
      <c r="F113" s="500">
        <f t="shared" si="16"/>
        <v>0.99206349225254342</v>
      </c>
      <c r="G113" s="76">
        <v>15409576.619999999</v>
      </c>
      <c r="H113" s="500">
        <f t="shared" si="20"/>
        <v>0.99206349225254342</v>
      </c>
      <c r="I113" s="76">
        <v>15409576.619999999</v>
      </c>
      <c r="J113" s="515">
        <f>I113/D113</f>
        <v>0.99206349225254342</v>
      </c>
      <c r="K113" s="76">
        <v>15417116.619999999</v>
      </c>
      <c r="L113" s="80">
        <v>1</v>
      </c>
      <c r="M113" s="201">
        <f>+I113/K113-1</f>
        <v>-4.8906680709792649E-4</v>
      </c>
      <c r="N113" s="64" t="s">
        <v>388</v>
      </c>
      <c r="P113" s="417"/>
    </row>
    <row r="114" spans="1:16" ht="15" customHeight="1" x14ac:dyDescent="0.2">
      <c r="A114" s="75"/>
      <c r="B114" s="75" t="s">
        <v>334</v>
      </c>
      <c r="C114" s="210"/>
      <c r="D114" s="215"/>
      <c r="E114" s="76"/>
      <c r="F114" s="147" t="s">
        <v>129</v>
      </c>
      <c r="G114" s="76"/>
      <c r="H114" s="147" t="s">
        <v>129</v>
      </c>
      <c r="I114" s="76"/>
      <c r="J114" s="221" t="s">
        <v>129</v>
      </c>
      <c r="K114" s="76"/>
      <c r="L114" s="80" t="s">
        <v>129</v>
      </c>
      <c r="M114" s="201"/>
      <c r="N114" s="64" t="s">
        <v>389</v>
      </c>
      <c r="P114" s="417"/>
    </row>
    <row r="115" spans="1:16" ht="15" customHeight="1" x14ac:dyDescent="0.2">
      <c r="A115" s="75"/>
      <c r="B115" s="75" t="s">
        <v>333</v>
      </c>
      <c r="C115" s="210">
        <v>2248848</v>
      </c>
      <c r="D115" s="215">
        <v>2248848</v>
      </c>
      <c r="E115" s="76">
        <v>2248848</v>
      </c>
      <c r="F115" s="500">
        <f t="shared" ref="F115:F129" si="21">+E115/D115</f>
        <v>1</v>
      </c>
      <c r="G115" s="76">
        <v>2248848</v>
      </c>
      <c r="H115" s="500">
        <f t="shared" ref="H115:H129" si="22">+G115/D115</f>
        <v>1</v>
      </c>
      <c r="I115" s="76">
        <v>2248848</v>
      </c>
      <c r="J115" s="515">
        <f t="shared" ref="J115:J129" si="23">I115/D115</f>
        <v>1</v>
      </c>
      <c r="K115" s="76">
        <v>2231000</v>
      </c>
      <c r="L115" s="80">
        <v>1</v>
      </c>
      <c r="M115" s="201">
        <f>+I115/K115-1</f>
        <v>8.0000000000000071E-3</v>
      </c>
      <c r="N115" s="64" t="s">
        <v>390</v>
      </c>
      <c r="P115" s="417"/>
    </row>
    <row r="116" spans="1:16" ht="15" customHeight="1" x14ac:dyDescent="0.2">
      <c r="A116" s="75"/>
      <c r="B116" s="75" t="s">
        <v>331</v>
      </c>
      <c r="C116" s="210">
        <v>1919978</v>
      </c>
      <c r="D116" s="215">
        <v>2169978</v>
      </c>
      <c r="E116" s="76">
        <v>2169976.6</v>
      </c>
      <c r="F116" s="500">
        <f t="shared" si="21"/>
        <v>0.99999935483216884</v>
      </c>
      <c r="G116" s="76">
        <v>2169976.6</v>
      </c>
      <c r="H116" s="500">
        <f t="shared" si="22"/>
        <v>0.99999935483216884</v>
      </c>
      <c r="I116" s="76">
        <v>1523809.1</v>
      </c>
      <c r="J116" s="515">
        <f t="shared" si="23"/>
        <v>0.70222329442971321</v>
      </c>
      <c r="K116" s="76">
        <v>1614068.55</v>
      </c>
      <c r="L116" s="80">
        <v>0.78383548797999991</v>
      </c>
      <c r="M116" s="201">
        <f>+I116/K116-1</f>
        <v>-5.5920456414320197E-2</v>
      </c>
      <c r="N116" s="64" t="s">
        <v>394</v>
      </c>
      <c r="P116" s="417"/>
    </row>
    <row r="117" spans="1:16" ht="15" customHeight="1" x14ac:dyDescent="0.2">
      <c r="A117" s="75"/>
      <c r="B117" s="75" t="s">
        <v>329</v>
      </c>
      <c r="C117" s="210">
        <v>155101.56</v>
      </c>
      <c r="D117" s="215">
        <v>155101.56</v>
      </c>
      <c r="E117" s="76">
        <v>155101.56</v>
      </c>
      <c r="F117" s="500">
        <f t="shared" si="21"/>
        <v>1</v>
      </c>
      <c r="G117" s="76">
        <v>155101.56</v>
      </c>
      <c r="H117" s="500">
        <f t="shared" si="22"/>
        <v>1</v>
      </c>
      <c r="I117" s="76">
        <v>155101.56</v>
      </c>
      <c r="J117" s="515">
        <f t="shared" si="23"/>
        <v>1</v>
      </c>
      <c r="K117" s="76">
        <v>155101.56</v>
      </c>
      <c r="L117" s="80">
        <v>0.76216398537681973</v>
      </c>
      <c r="M117" s="201">
        <f t="shared" ref="M117:M119" si="24">+I117/K117-1</f>
        <v>0</v>
      </c>
      <c r="N117" s="64" t="s">
        <v>392</v>
      </c>
      <c r="P117" s="417"/>
    </row>
    <row r="118" spans="1:16" ht="15" customHeight="1" x14ac:dyDescent="0.2">
      <c r="A118" s="75"/>
      <c r="B118" s="75" t="s">
        <v>330</v>
      </c>
      <c r="C118" s="210">
        <v>1008512.45</v>
      </c>
      <c r="D118" s="215">
        <v>1008512.45</v>
      </c>
      <c r="E118" s="76">
        <v>1008512.45</v>
      </c>
      <c r="F118" s="500">
        <f t="shared" si="21"/>
        <v>1</v>
      </c>
      <c r="G118" s="76">
        <v>1008512.45</v>
      </c>
      <c r="H118" s="500">
        <f t="shared" si="22"/>
        <v>1</v>
      </c>
      <c r="I118" s="76">
        <v>1008512.45</v>
      </c>
      <c r="J118" s="515">
        <f t="shared" si="23"/>
        <v>1</v>
      </c>
      <c r="K118" s="76">
        <v>1008512.45</v>
      </c>
      <c r="L118" s="80">
        <v>1</v>
      </c>
      <c r="M118" s="201">
        <f t="shared" si="24"/>
        <v>0</v>
      </c>
      <c r="N118" s="64" t="s">
        <v>393</v>
      </c>
      <c r="P118" s="417"/>
    </row>
    <row r="119" spans="1:16" ht="15" customHeight="1" x14ac:dyDescent="0.2">
      <c r="A119" s="75"/>
      <c r="B119" s="75" t="s">
        <v>327</v>
      </c>
      <c r="C119" s="210">
        <v>2541014</v>
      </c>
      <c r="D119" s="215">
        <v>17541014</v>
      </c>
      <c r="E119" s="76">
        <v>11541014</v>
      </c>
      <c r="F119" s="500">
        <f t="shared" si="21"/>
        <v>0.65794451791669517</v>
      </c>
      <c r="G119" s="76">
        <v>11541014</v>
      </c>
      <c r="H119" s="500">
        <f t="shared" si="22"/>
        <v>0.65794451791669517</v>
      </c>
      <c r="I119" s="76">
        <v>11540000</v>
      </c>
      <c r="J119" s="515">
        <f t="shared" si="23"/>
        <v>0.65788671054022307</v>
      </c>
      <c r="K119" s="76">
        <v>2541014</v>
      </c>
      <c r="L119" s="80">
        <v>1</v>
      </c>
      <c r="M119" s="201">
        <f t="shared" si="24"/>
        <v>3.5414940649677646</v>
      </c>
      <c r="N119" s="64">
        <v>46743</v>
      </c>
      <c r="P119" s="417"/>
    </row>
    <row r="120" spans="1:16" ht="15" customHeight="1" x14ac:dyDescent="0.2">
      <c r="A120" s="75"/>
      <c r="B120" s="75" t="s">
        <v>326</v>
      </c>
      <c r="C120" s="210">
        <v>1136412.6100000001</v>
      </c>
      <c r="D120" s="215">
        <v>1136412.6100000001</v>
      </c>
      <c r="E120" s="76">
        <v>1136412.6100000001</v>
      </c>
      <c r="F120" s="500">
        <f t="shared" si="21"/>
        <v>1</v>
      </c>
      <c r="G120" s="76">
        <v>1136412.6100000001</v>
      </c>
      <c r="H120" s="500">
        <f t="shared" si="22"/>
        <v>1</v>
      </c>
      <c r="I120" s="76">
        <v>1136412.6100000001</v>
      </c>
      <c r="J120" s="515">
        <f t="shared" si="23"/>
        <v>1</v>
      </c>
      <c r="K120" s="76">
        <v>1107599.81</v>
      </c>
      <c r="L120" s="80">
        <v>0.95882405732217557</v>
      </c>
      <c r="M120" s="201">
        <f>+I120/K120-1</f>
        <v>2.6013727828284816E-2</v>
      </c>
      <c r="N120" s="64">
        <v>46746</v>
      </c>
      <c r="P120" s="417"/>
    </row>
    <row r="121" spans="1:16" ht="15" customHeight="1" x14ac:dyDescent="0.2">
      <c r="A121" s="75"/>
      <c r="B121" s="75" t="s">
        <v>338</v>
      </c>
      <c r="C121" s="210">
        <v>1890399</v>
      </c>
      <c r="D121" s="215">
        <v>1781899</v>
      </c>
      <c r="E121" s="76">
        <v>1781899</v>
      </c>
      <c r="F121" s="500">
        <f t="shared" si="21"/>
        <v>1</v>
      </c>
      <c r="G121" s="76">
        <v>1781899</v>
      </c>
      <c r="H121" s="500">
        <f t="shared" si="22"/>
        <v>1</v>
      </c>
      <c r="I121" s="76">
        <v>1781899</v>
      </c>
      <c r="J121" s="515">
        <f t="shared" si="23"/>
        <v>1</v>
      </c>
      <c r="K121" s="76">
        <v>1512246.9</v>
      </c>
      <c r="L121" s="80">
        <v>1</v>
      </c>
      <c r="M121" s="201">
        <f>+I121/K121-1</f>
        <v>0.17831221872565917</v>
      </c>
      <c r="N121" s="64" t="s">
        <v>397</v>
      </c>
      <c r="P121" s="417"/>
    </row>
    <row r="122" spans="1:16" ht="15" customHeight="1" x14ac:dyDescent="0.2">
      <c r="A122" s="77"/>
      <c r="B122" s="77" t="s">
        <v>339</v>
      </c>
      <c r="C122" s="472">
        <v>2186196.83</v>
      </c>
      <c r="D122" s="185">
        <v>5356125.9900000012</v>
      </c>
      <c r="E122" s="78">
        <v>5248890.16</v>
      </c>
      <c r="F122" s="500">
        <f t="shared" si="21"/>
        <v>0.97997884474707797</v>
      </c>
      <c r="G122" s="76">
        <v>5248890.16</v>
      </c>
      <c r="H122" s="501">
        <f t="shared" si="22"/>
        <v>0.97997884474707797</v>
      </c>
      <c r="I122" s="76">
        <v>5242890.1500000004</v>
      </c>
      <c r="J122" s="516">
        <f t="shared" si="23"/>
        <v>0.97885863024667186</v>
      </c>
      <c r="K122" s="78">
        <v>5577055.2799999714</v>
      </c>
      <c r="L122" s="81">
        <v>0.89412275833966515</v>
      </c>
      <c r="M122" s="202">
        <f>+I122/K122-1</f>
        <v>-5.9917844314423374E-2</v>
      </c>
      <c r="N122" s="64" t="s">
        <v>340</v>
      </c>
      <c r="P122" s="417"/>
    </row>
    <row r="123" spans="1:16" ht="15" customHeight="1" x14ac:dyDescent="0.2">
      <c r="A123" s="73"/>
      <c r="B123" s="73" t="s">
        <v>341</v>
      </c>
      <c r="C123" s="471">
        <v>1126444.52</v>
      </c>
      <c r="D123" s="215">
        <v>1217222.43</v>
      </c>
      <c r="E123" s="90">
        <v>859400</v>
      </c>
      <c r="F123" s="273">
        <f t="shared" si="21"/>
        <v>0.70603365401342466</v>
      </c>
      <c r="G123" s="74">
        <v>859400</v>
      </c>
      <c r="H123" s="273">
        <f t="shared" si="22"/>
        <v>0.70603365401342466</v>
      </c>
      <c r="I123" s="74">
        <v>634400</v>
      </c>
      <c r="J123" s="274">
        <f t="shared" si="23"/>
        <v>0.52118658378649829</v>
      </c>
      <c r="K123" s="74">
        <v>622156.91</v>
      </c>
      <c r="L123" s="79">
        <v>0.7853665276804892</v>
      </c>
      <c r="M123" s="522">
        <v>-1</v>
      </c>
      <c r="N123" s="64">
        <v>47</v>
      </c>
      <c r="P123" s="417"/>
    </row>
    <row r="124" spans="1:16" ht="15" customHeight="1" x14ac:dyDescent="0.2">
      <c r="A124" s="75"/>
      <c r="B124" s="75" t="s">
        <v>342</v>
      </c>
      <c r="C124" s="210">
        <v>104263033.93000001</v>
      </c>
      <c r="D124" s="215">
        <v>94544352.959999993</v>
      </c>
      <c r="E124" s="76">
        <v>76216440.099999994</v>
      </c>
      <c r="F124" s="500">
        <f t="shared" si="21"/>
        <v>0.80614481683793204</v>
      </c>
      <c r="G124" s="90">
        <v>73938636.299999997</v>
      </c>
      <c r="H124" s="500">
        <f t="shared" si="22"/>
        <v>0.78205238055076753</v>
      </c>
      <c r="I124" s="76">
        <v>61637028.229999997</v>
      </c>
      <c r="J124" s="515">
        <f t="shared" si="23"/>
        <v>0.65193770225576042</v>
      </c>
      <c r="K124" s="76">
        <v>55604440.840000004</v>
      </c>
      <c r="L124" s="80">
        <v>0.73972891796678197</v>
      </c>
      <c r="M124" s="201">
        <f>+I124/K124-1</f>
        <v>0.10849110788396499</v>
      </c>
      <c r="N124" s="64">
        <v>48</v>
      </c>
      <c r="P124" s="417"/>
    </row>
    <row r="125" spans="1:16" ht="15" customHeight="1" x14ac:dyDescent="0.2">
      <c r="A125" s="77"/>
      <c r="B125" s="77" t="s">
        <v>343</v>
      </c>
      <c r="C125" s="472">
        <v>125828.35</v>
      </c>
      <c r="D125" s="185">
        <v>101211.71</v>
      </c>
      <c r="E125" s="78">
        <v>95034.11</v>
      </c>
      <c r="F125" s="501">
        <f t="shared" si="21"/>
        <v>0.93896358435204774</v>
      </c>
      <c r="G125" s="78">
        <v>95034.11</v>
      </c>
      <c r="H125" s="501">
        <f t="shared" si="22"/>
        <v>0.93896358435204774</v>
      </c>
      <c r="I125" s="78">
        <v>95034.11</v>
      </c>
      <c r="J125" s="516">
        <f t="shared" si="23"/>
        <v>0.93896358435204774</v>
      </c>
      <c r="K125" s="78">
        <v>93422.07</v>
      </c>
      <c r="L125" s="81">
        <v>0.78889070255231986</v>
      </c>
      <c r="M125" s="201">
        <f>+I125/K125-1</f>
        <v>1.7255451522322218E-2</v>
      </c>
      <c r="N125" s="64">
        <v>49</v>
      </c>
      <c r="P125" s="417"/>
    </row>
    <row r="126" spans="1:16" ht="15" customHeight="1" x14ac:dyDescent="0.2">
      <c r="A126" s="65"/>
      <c r="B126" s="65" t="s">
        <v>464</v>
      </c>
      <c r="C126" s="472">
        <v>6477736.8899999997</v>
      </c>
      <c r="D126" s="185">
        <v>107259</v>
      </c>
      <c r="E126" s="66">
        <v>0</v>
      </c>
      <c r="F126" s="502" t="s">
        <v>129</v>
      </c>
      <c r="G126" s="66">
        <v>0</v>
      </c>
      <c r="H126" s="502" t="s">
        <v>129</v>
      </c>
      <c r="I126" s="66">
        <v>0</v>
      </c>
      <c r="J126" s="519" t="s">
        <v>129</v>
      </c>
      <c r="K126" s="66"/>
      <c r="L126" s="407" t="s">
        <v>129</v>
      </c>
      <c r="M126" s="183" t="s">
        <v>129</v>
      </c>
      <c r="N126" s="64">
        <v>5</v>
      </c>
      <c r="P126" s="416"/>
    </row>
    <row r="127" spans="1:16" ht="15" customHeight="1" x14ac:dyDescent="0.2">
      <c r="A127" s="83"/>
      <c r="B127" s="84" t="s">
        <v>345</v>
      </c>
      <c r="C127" s="220">
        <f>SUM(C99:C126)</f>
        <v>473500987.06</v>
      </c>
      <c r="D127" s="223">
        <f>SUM(D99:D126)</f>
        <v>487893974.69</v>
      </c>
      <c r="E127" s="85">
        <f>SUM(E99:E126)</f>
        <v>456962341.76000011</v>
      </c>
      <c r="F127" s="505">
        <f t="shared" si="21"/>
        <v>0.93660173206760067</v>
      </c>
      <c r="G127" s="85">
        <f>SUM(G99:G126)</f>
        <v>454684537.9600001</v>
      </c>
      <c r="H127" s="505">
        <f t="shared" si="22"/>
        <v>0.93193308699682009</v>
      </c>
      <c r="I127" s="85">
        <f>SUM(I99:I126)</f>
        <v>431748168.81000006</v>
      </c>
      <c r="J127" s="520">
        <f t="shared" si="23"/>
        <v>0.88492211670440468</v>
      </c>
      <c r="K127" s="85">
        <f>SUM(K99:K126)</f>
        <v>381502951.49999994</v>
      </c>
      <c r="L127" s="505">
        <v>0.91</v>
      </c>
      <c r="M127" s="207">
        <f>+I127/K127-1</f>
        <v>0.13170335147459578</v>
      </c>
      <c r="P127" s="416"/>
    </row>
    <row r="128" spans="1:16" ht="21" customHeight="1" thickBot="1" x14ac:dyDescent="0.25">
      <c r="A128" s="9"/>
      <c r="B128" s="2" t="s">
        <v>3</v>
      </c>
      <c r="C128" s="179">
        <f>C98+C127</f>
        <v>1002147561.6700001</v>
      </c>
      <c r="D128" s="169">
        <f>D98+D127</f>
        <v>1070541919.3000002</v>
      </c>
      <c r="E128" s="92">
        <f>E98+E127</f>
        <v>972002552.56000018</v>
      </c>
      <c r="F128" s="98">
        <f t="shared" si="21"/>
        <v>0.90795375224126451</v>
      </c>
      <c r="G128" s="92">
        <f>G98+G127</f>
        <v>969724748.76000011</v>
      </c>
      <c r="H128" s="98">
        <f t="shared" si="22"/>
        <v>0.90582604125775679</v>
      </c>
      <c r="I128" s="92">
        <f>I98+I127</f>
        <v>924967718.16000009</v>
      </c>
      <c r="J128" s="188">
        <f t="shared" si="23"/>
        <v>0.86401821496612918</v>
      </c>
      <c r="K128" s="92">
        <f>K98+K127</f>
        <v>848854113.19000006</v>
      </c>
      <c r="L128" s="44">
        <v>0.88300000000000001</v>
      </c>
      <c r="M128" s="161">
        <f>+I128/K128-1</f>
        <v>8.9666296937602752E-2</v>
      </c>
      <c r="P128" s="416"/>
    </row>
    <row r="129" spans="1:16" s="6" customFormat="1" ht="19.5" customHeight="1" thickBot="1" x14ac:dyDescent="0.25">
      <c r="A129" s="5"/>
      <c r="B129" s="4" t="s">
        <v>292</v>
      </c>
      <c r="C129" s="180">
        <f>+C11+C57+C61+C128</f>
        <v>1996110606.4500003</v>
      </c>
      <c r="D129" s="171">
        <f>+D11+D57+D61+D128</f>
        <v>2054972980.8800001</v>
      </c>
      <c r="E129" s="172">
        <f>+E11+E57+E61+E128</f>
        <v>1888285292.3800004</v>
      </c>
      <c r="F129" s="199">
        <f t="shared" si="21"/>
        <v>0.91888570309638851</v>
      </c>
      <c r="G129" s="172">
        <f>+G11+G57+G61+G128</f>
        <v>1873582090.25</v>
      </c>
      <c r="H129" s="199">
        <f t="shared" si="22"/>
        <v>0.9117307661377021</v>
      </c>
      <c r="I129" s="172">
        <f>+I11+I57+I61+I128</f>
        <v>1684240737.4200001</v>
      </c>
      <c r="J129" s="191">
        <f t="shared" si="23"/>
        <v>0.81959264335376247</v>
      </c>
      <c r="K129" s="164">
        <f>+K11+K57+K61+K128</f>
        <v>1593100430</v>
      </c>
      <c r="L129" s="208">
        <v>0.83199999999999996</v>
      </c>
      <c r="M129" s="163">
        <f>+I129/K129-1</f>
        <v>5.7209392266625692E-2</v>
      </c>
      <c r="N129" s="14"/>
      <c r="P129" s="418"/>
    </row>
    <row r="130" spans="1:16" x14ac:dyDescent="0.2">
      <c r="P130" s="417"/>
    </row>
    <row r="131" spans="1:16" x14ac:dyDescent="0.2">
      <c r="P131" s="417"/>
    </row>
    <row r="132" spans="1:16" x14ac:dyDescent="0.2">
      <c r="P132" s="417"/>
    </row>
    <row r="133" spans="1:16" x14ac:dyDescent="0.2">
      <c r="C133" s="405"/>
      <c r="D133" s="405"/>
      <c r="E133" s="405"/>
      <c r="F133" s="506"/>
      <c r="G133" s="405"/>
      <c r="H133" s="506"/>
      <c r="I133" s="405"/>
      <c r="J133" s="506"/>
      <c r="K133" s="405"/>
      <c r="P133" s="416"/>
    </row>
    <row r="134" spans="1:16" x14ac:dyDescent="0.2">
      <c r="C134" s="47"/>
      <c r="D134" s="47"/>
      <c r="P134" s="417"/>
    </row>
    <row r="135" spans="1:16" x14ac:dyDescent="0.2">
      <c r="I135" s="406"/>
      <c r="K135" s="406"/>
      <c r="P135" s="417"/>
    </row>
    <row r="136" spans="1:16" x14ac:dyDescent="0.2">
      <c r="P136" s="417"/>
    </row>
    <row r="137" spans="1:16" x14ac:dyDescent="0.2">
      <c r="P137" s="417"/>
    </row>
    <row r="138" spans="1:16" x14ac:dyDescent="0.2">
      <c r="P138" s="417"/>
    </row>
    <row r="139" spans="1:16" x14ac:dyDescent="0.2">
      <c r="P139" s="417"/>
    </row>
    <row r="140" spans="1:16" x14ac:dyDescent="0.2">
      <c r="P140" s="417"/>
    </row>
    <row r="141" spans="1:16" x14ac:dyDescent="0.2">
      <c r="C141" s="47"/>
      <c r="D141" s="396"/>
      <c r="P141" s="417"/>
    </row>
    <row r="142" spans="1:16" x14ac:dyDescent="0.2">
      <c r="P142" s="417"/>
    </row>
    <row r="143" spans="1:16" x14ac:dyDescent="0.2">
      <c r="P143" s="417"/>
    </row>
    <row r="144" spans="1:16" x14ac:dyDescent="0.2">
      <c r="P144" s="416"/>
    </row>
    <row r="145" spans="16:16" x14ac:dyDescent="0.2">
      <c r="P145" s="416"/>
    </row>
    <row r="146" spans="16:16" x14ac:dyDescent="0.2">
      <c r="P146" s="416"/>
    </row>
    <row r="147" spans="16:16" x14ac:dyDescent="0.2">
      <c r="P147" s="416"/>
    </row>
    <row r="148" spans="16:16" x14ac:dyDescent="0.2">
      <c r="P148" s="416"/>
    </row>
    <row r="149" spans="16:16" x14ac:dyDescent="0.2">
      <c r="P149" s="417"/>
    </row>
    <row r="150" spans="16:16" x14ac:dyDescent="0.2">
      <c r="P150" s="417"/>
    </row>
    <row r="151" spans="16:16" x14ac:dyDescent="0.2">
      <c r="P151" s="417"/>
    </row>
    <row r="152" spans="16:16" x14ac:dyDescent="0.2">
      <c r="P152" s="417"/>
    </row>
    <row r="153" spans="16:16" x14ac:dyDescent="0.2">
      <c r="P153" s="417"/>
    </row>
    <row r="154" spans="16:16" x14ac:dyDescent="0.2">
      <c r="P154" s="416"/>
    </row>
    <row r="155" spans="16:16" x14ac:dyDescent="0.2">
      <c r="P155" s="416"/>
    </row>
    <row r="156" spans="16:16" x14ac:dyDescent="0.2">
      <c r="P156" s="417"/>
    </row>
    <row r="157" spans="16:16" x14ac:dyDescent="0.2">
      <c r="P157" s="416"/>
    </row>
    <row r="158" spans="16:16" x14ac:dyDescent="0.2">
      <c r="P158" s="417"/>
    </row>
    <row r="159" spans="16:16" x14ac:dyDescent="0.2">
      <c r="P159" s="416"/>
    </row>
    <row r="160" spans="16:16" x14ac:dyDescent="0.2">
      <c r="P160" s="417"/>
    </row>
    <row r="161" spans="16:16" x14ac:dyDescent="0.2">
      <c r="P161" s="417"/>
    </row>
    <row r="162" spans="16:16" x14ac:dyDescent="0.2">
      <c r="P162" s="417"/>
    </row>
    <row r="163" spans="16:16" x14ac:dyDescent="0.2">
      <c r="P163" s="416"/>
    </row>
    <row r="164" spans="16:16" x14ac:dyDescent="0.2">
      <c r="P164" s="417"/>
    </row>
    <row r="165" spans="16:16" x14ac:dyDescent="0.2">
      <c r="P165" s="417"/>
    </row>
    <row r="166" spans="16:16" x14ac:dyDescent="0.2">
      <c r="P166" s="417"/>
    </row>
    <row r="167" spans="16:16" x14ac:dyDescent="0.2">
      <c r="P167" s="417"/>
    </row>
    <row r="168" spans="16:16" x14ac:dyDescent="0.2">
      <c r="P168" s="417"/>
    </row>
    <row r="169" spans="16:16" x14ac:dyDescent="0.2">
      <c r="P169" s="417"/>
    </row>
    <row r="170" spans="16:16" x14ac:dyDescent="0.2">
      <c r="P170" s="417"/>
    </row>
    <row r="171" spans="16:16" x14ac:dyDescent="0.2">
      <c r="P171" s="417"/>
    </row>
    <row r="172" spans="16:16" x14ac:dyDescent="0.2">
      <c r="P172" s="417"/>
    </row>
    <row r="173" spans="16:16" x14ac:dyDescent="0.2">
      <c r="P173" s="417"/>
    </row>
    <row r="174" spans="16:16" x14ac:dyDescent="0.2">
      <c r="P174" s="417"/>
    </row>
    <row r="175" spans="16:16" x14ac:dyDescent="0.2">
      <c r="P175" s="417"/>
    </row>
    <row r="176" spans="16:16" x14ac:dyDescent="0.2">
      <c r="P176" s="417"/>
    </row>
    <row r="177" spans="16:16" x14ac:dyDescent="0.2">
      <c r="P177" s="417"/>
    </row>
    <row r="178" spans="16:16" x14ac:dyDescent="0.2">
      <c r="P178" s="417"/>
    </row>
    <row r="179" spans="16:16" x14ac:dyDescent="0.2">
      <c r="P179" s="417"/>
    </row>
    <row r="180" spans="16:16" x14ac:dyDescent="0.2">
      <c r="P180" s="416"/>
    </row>
    <row r="181" spans="16:16" x14ac:dyDescent="0.2">
      <c r="P181" s="417"/>
    </row>
    <row r="182" spans="16:16" x14ac:dyDescent="0.2">
      <c r="P182" s="417"/>
    </row>
    <row r="183" spans="16:16" x14ac:dyDescent="0.2">
      <c r="P183" s="417"/>
    </row>
    <row r="184" spans="16:16" x14ac:dyDescent="0.2">
      <c r="P184" s="417"/>
    </row>
    <row r="185" spans="16:16" x14ac:dyDescent="0.2">
      <c r="P185" s="417"/>
    </row>
    <row r="186" spans="16:16" x14ac:dyDescent="0.2">
      <c r="P186" s="417"/>
    </row>
    <row r="187" spans="16:16" x14ac:dyDescent="0.2">
      <c r="P187" s="417"/>
    </row>
    <row r="188" spans="16:16" x14ac:dyDescent="0.2">
      <c r="P188" s="417"/>
    </row>
    <row r="189" spans="16:16" x14ac:dyDescent="0.2">
      <c r="P189" s="417"/>
    </row>
    <row r="190" spans="16:16" x14ac:dyDescent="0.2">
      <c r="P190" s="417"/>
    </row>
    <row r="191" spans="16:16" x14ac:dyDescent="0.2">
      <c r="P191" s="417"/>
    </row>
    <row r="192" spans="16:16" x14ac:dyDescent="0.2">
      <c r="P192" s="417"/>
    </row>
    <row r="193" spans="16:16" x14ac:dyDescent="0.2">
      <c r="P193" s="417"/>
    </row>
    <row r="194" spans="16:16" x14ac:dyDescent="0.2">
      <c r="P194" s="417"/>
    </row>
    <row r="195" spans="16:16" x14ac:dyDescent="0.2">
      <c r="P195" s="417"/>
    </row>
    <row r="196" spans="16:16" x14ac:dyDescent="0.2">
      <c r="P196" s="417"/>
    </row>
    <row r="197" spans="16:16" x14ac:dyDescent="0.2">
      <c r="P197" s="417"/>
    </row>
    <row r="198" spans="16:16" x14ac:dyDescent="0.2">
      <c r="P198" s="417"/>
    </row>
    <row r="199" spans="16:16" x14ac:dyDescent="0.2">
      <c r="P199" s="417"/>
    </row>
    <row r="200" spans="16:16" x14ac:dyDescent="0.2">
      <c r="P200" s="417"/>
    </row>
    <row r="201" spans="16:16" x14ac:dyDescent="0.2">
      <c r="P201" s="417"/>
    </row>
    <row r="202" spans="16:16" x14ac:dyDescent="0.2">
      <c r="P202" s="416"/>
    </row>
    <row r="203" spans="16:16" x14ac:dyDescent="0.2">
      <c r="P203" s="416"/>
    </row>
    <row r="204" spans="16:16" x14ac:dyDescent="0.2">
      <c r="P204" s="416"/>
    </row>
    <row r="205" spans="16:16" x14ac:dyDescent="0.2">
      <c r="P205" s="417"/>
    </row>
    <row r="206" spans="16:16" x14ac:dyDescent="0.2">
      <c r="P206" s="417"/>
    </row>
    <row r="207" spans="16:16" x14ac:dyDescent="0.2">
      <c r="P207" s="417"/>
    </row>
    <row r="208" spans="16:16" x14ac:dyDescent="0.2">
      <c r="P208" s="417"/>
    </row>
    <row r="209" spans="16:16" x14ac:dyDescent="0.2">
      <c r="P209" s="417"/>
    </row>
    <row r="210" spans="16:16" x14ac:dyDescent="0.2">
      <c r="P210" s="417"/>
    </row>
    <row r="211" spans="16:16" x14ac:dyDescent="0.2">
      <c r="P211" s="417"/>
    </row>
    <row r="212" spans="16:16" x14ac:dyDescent="0.2">
      <c r="P212" s="416"/>
    </row>
    <row r="213" spans="16:16" x14ac:dyDescent="0.2">
      <c r="P213" s="416"/>
    </row>
    <row r="214" spans="16:16" x14ac:dyDescent="0.2">
      <c r="P214" s="416"/>
    </row>
    <row r="215" spans="16:16" x14ac:dyDescent="0.2">
      <c r="P215" s="417"/>
    </row>
    <row r="216" spans="16:16" x14ac:dyDescent="0.2">
      <c r="P216" s="417"/>
    </row>
  </sheetData>
  <sortState ref="B16:N18">
    <sortCondition ref="N16:N18"/>
  </sortState>
  <mergeCells count="4">
    <mergeCell ref="K2:L2"/>
    <mergeCell ref="K64:L64"/>
    <mergeCell ref="D2:J2"/>
    <mergeCell ref="D64:J64"/>
  </mergeCells>
  <hyperlinks>
    <hyperlink ref="B89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portrait" r:id="rId2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zoomScale="85" zoomScaleNormal="85" workbookViewId="0">
      <selection activeCell="K20" sqref="K20"/>
    </sheetView>
  </sheetViews>
  <sheetFormatPr defaultColWidth="11.42578125" defaultRowHeight="12.75" x14ac:dyDescent="0.2"/>
  <cols>
    <col min="1" max="1" width="0.7109375" customWidth="1"/>
    <col min="2" max="2" width="31.7109375" customWidth="1"/>
    <col min="3" max="3" width="13.5703125" customWidth="1"/>
    <col min="4" max="4" width="13.7109375" customWidth="1"/>
    <col min="5" max="5" width="11.28515625" customWidth="1"/>
    <col min="6" max="6" width="6.28515625" style="105" customWidth="1"/>
    <col min="7" max="7" width="12.28515625" customWidth="1"/>
    <col min="8" max="8" width="8.140625" style="105" customWidth="1"/>
    <col min="9" max="9" width="12.5703125" customWidth="1"/>
    <col min="10" max="10" width="8.42578125" style="105" customWidth="1"/>
    <col min="11" max="11" width="11.140625" customWidth="1"/>
    <col min="12" max="12" width="6.28515625" style="105" bestFit="1" customWidth="1"/>
    <col min="13" max="13" width="6.85546875" style="105" bestFit="1" customWidth="1"/>
    <col min="14" max="14" width="15.42578125" style="64" bestFit="1" customWidth="1"/>
    <col min="15" max="15" width="12.140625" customWidth="1"/>
    <col min="16" max="16" width="11.7109375" bestFit="1" customWidth="1"/>
  </cols>
  <sheetData>
    <row r="2" spans="1:14" ht="15" x14ac:dyDescent="0.25">
      <c r="A2" s="7" t="s">
        <v>233</v>
      </c>
      <c r="F2"/>
      <c r="H2"/>
      <c r="J2"/>
      <c r="L2"/>
      <c r="M2"/>
      <c r="N2"/>
    </row>
    <row r="3" spans="1:14" x14ac:dyDescent="0.2">
      <c r="F3"/>
      <c r="H3"/>
      <c r="J3"/>
      <c r="L3"/>
      <c r="M3"/>
      <c r="N3"/>
    </row>
    <row r="4" spans="1:14" x14ac:dyDescent="0.2">
      <c r="F4"/>
      <c r="H4"/>
      <c r="J4"/>
      <c r="L4"/>
      <c r="M4"/>
      <c r="N4"/>
    </row>
    <row r="5" spans="1:14" ht="15" customHeight="1" x14ac:dyDescent="0.2">
      <c r="F5"/>
      <c r="H5"/>
      <c r="J5"/>
      <c r="L5"/>
      <c r="M5"/>
      <c r="N5"/>
    </row>
    <row r="6" spans="1:14" ht="15" customHeight="1" x14ac:dyDescent="0.2">
      <c r="F6"/>
      <c r="H6"/>
      <c r="J6"/>
      <c r="L6"/>
      <c r="M6"/>
      <c r="N6"/>
    </row>
    <row r="7" spans="1:14" ht="15" customHeight="1" x14ac:dyDescent="0.2">
      <c r="F7"/>
      <c r="H7"/>
      <c r="J7"/>
      <c r="L7"/>
      <c r="M7"/>
      <c r="N7"/>
    </row>
    <row r="8" spans="1:14" ht="15" customHeight="1" x14ac:dyDescent="0.2">
      <c r="F8"/>
      <c r="H8"/>
      <c r="J8"/>
      <c r="L8"/>
      <c r="M8"/>
      <c r="N8"/>
    </row>
    <row r="9" spans="1:14" ht="15" customHeight="1" x14ac:dyDescent="0.2">
      <c r="F9"/>
      <c r="H9"/>
      <c r="J9"/>
      <c r="L9"/>
      <c r="M9"/>
      <c r="N9"/>
    </row>
    <row r="10" spans="1:14" ht="15" customHeight="1" x14ac:dyDescent="0.2">
      <c r="F10"/>
      <c r="H10"/>
      <c r="J10"/>
      <c r="L10"/>
      <c r="M10"/>
      <c r="N10"/>
    </row>
    <row r="11" spans="1:14" ht="15" customHeight="1" x14ac:dyDescent="0.2">
      <c r="F11"/>
      <c r="H11"/>
      <c r="J11"/>
      <c r="L11"/>
      <c r="M11"/>
      <c r="N11"/>
    </row>
    <row r="12" spans="1:14" ht="15" customHeight="1" x14ac:dyDescent="0.2">
      <c r="F12"/>
      <c r="H12"/>
      <c r="J12"/>
      <c r="L12"/>
      <c r="M12"/>
      <c r="N12"/>
    </row>
    <row r="13" spans="1:14" ht="15" customHeight="1" x14ac:dyDescent="0.2">
      <c r="F13"/>
      <c r="H13"/>
      <c r="J13"/>
      <c r="L13"/>
      <c r="M13"/>
      <c r="N13"/>
    </row>
    <row r="14" spans="1:14" ht="15" customHeight="1" x14ac:dyDescent="0.2">
      <c r="F14"/>
      <c r="H14"/>
      <c r="J14"/>
      <c r="L14"/>
      <c r="M14"/>
      <c r="N14"/>
    </row>
    <row r="15" spans="1:14" ht="15" customHeight="1" x14ac:dyDescent="0.2">
      <c r="F15"/>
      <c r="H15"/>
      <c r="J15"/>
      <c r="L15"/>
      <c r="M15"/>
      <c r="N15"/>
    </row>
    <row r="16" spans="1:14" ht="15" customHeight="1" x14ac:dyDescent="0.2">
      <c r="F16"/>
      <c r="H16"/>
      <c r="J16"/>
      <c r="L16"/>
      <c r="M16"/>
      <c r="N16"/>
    </row>
    <row r="17" spans="6:14" ht="15" customHeight="1" x14ac:dyDescent="0.2">
      <c r="F17"/>
      <c r="H17"/>
      <c r="J17"/>
      <c r="L17"/>
      <c r="M17"/>
      <c r="N17"/>
    </row>
    <row r="18" spans="6:14" ht="15" customHeight="1" x14ac:dyDescent="0.2">
      <c r="F18"/>
      <c r="H18"/>
      <c r="J18"/>
      <c r="L18"/>
      <c r="M18"/>
      <c r="N18"/>
    </row>
    <row r="19" spans="6:14" ht="15" customHeight="1" x14ac:dyDescent="0.2">
      <c r="F19"/>
      <c r="H19"/>
      <c r="J19"/>
      <c r="L19"/>
      <c r="M19"/>
      <c r="N19"/>
    </row>
    <row r="20" spans="6:14" ht="15" customHeight="1" x14ac:dyDescent="0.2">
      <c r="F20"/>
      <c r="H20"/>
      <c r="J20"/>
      <c r="L20"/>
      <c r="M20"/>
      <c r="N20"/>
    </row>
    <row r="21" spans="6:14" ht="15" customHeight="1" x14ac:dyDescent="0.2">
      <c r="F21"/>
      <c r="H21"/>
      <c r="J21"/>
      <c r="L21"/>
      <c r="M21"/>
      <c r="N21"/>
    </row>
    <row r="22" spans="6:14" ht="15" customHeight="1" x14ac:dyDescent="0.2">
      <c r="F22"/>
      <c r="H22"/>
      <c r="J22"/>
      <c r="L22"/>
      <c r="M22"/>
      <c r="N22"/>
    </row>
    <row r="23" spans="6:14" ht="15" customHeight="1" x14ac:dyDescent="0.2">
      <c r="F23"/>
      <c r="H23"/>
      <c r="J23"/>
      <c r="L23"/>
      <c r="M23"/>
      <c r="N23"/>
    </row>
    <row r="24" spans="6:14" ht="15" customHeight="1" x14ac:dyDescent="0.2">
      <c r="F24"/>
      <c r="H24"/>
      <c r="J24"/>
      <c r="L24"/>
      <c r="M24"/>
      <c r="N24"/>
    </row>
    <row r="25" spans="6:14" ht="15" customHeight="1" x14ac:dyDescent="0.2">
      <c r="F25"/>
      <c r="H25"/>
      <c r="J25"/>
      <c r="L25"/>
      <c r="M25"/>
      <c r="N25"/>
    </row>
    <row r="26" spans="6:14" ht="15" customHeight="1" x14ac:dyDescent="0.2">
      <c r="F26"/>
      <c r="H26"/>
      <c r="J26"/>
      <c r="L26"/>
      <c r="M26"/>
      <c r="N26"/>
    </row>
    <row r="27" spans="6:14" ht="15" customHeight="1" x14ac:dyDescent="0.2">
      <c r="F27"/>
      <c r="H27"/>
      <c r="J27"/>
      <c r="L27"/>
      <c r="M27"/>
      <c r="N27"/>
    </row>
    <row r="28" spans="6:14" ht="15" customHeight="1" x14ac:dyDescent="0.2">
      <c r="F28"/>
      <c r="H28"/>
      <c r="J28"/>
      <c r="L28"/>
      <c r="M28"/>
      <c r="N28"/>
    </row>
    <row r="29" spans="6:14" ht="15" customHeight="1" x14ac:dyDescent="0.2">
      <c r="F29"/>
      <c r="H29"/>
      <c r="J29"/>
      <c r="L29"/>
      <c r="M29"/>
      <c r="N29"/>
    </row>
    <row r="30" spans="6:14" ht="15" customHeight="1" x14ac:dyDescent="0.2">
      <c r="F30"/>
      <c r="H30"/>
      <c r="J30"/>
      <c r="L30"/>
      <c r="M30"/>
      <c r="N30"/>
    </row>
    <row r="31" spans="6:14" ht="15" customHeight="1" x14ac:dyDescent="0.2">
      <c r="F31"/>
      <c r="H31"/>
      <c r="J31"/>
      <c r="L31"/>
      <c r="M31"/>
      <c r="N31"/>
    </row>
    <row r="32" spans="6:14" ht="15" customHeight="1" x14ac:dyDescent="0.2">
      <c r="F32"/>
      <c r="H32"/>
      <c r="J32"/>
      <c r="L32"/>
      <c r="M32"/>
      <c r="N32"/>
    </row>
    <row r="33" spans="6:14" ht="15" customHeight="1" x14ac:dyDescent="0.2">
      <c r="F33"/>
      <c r="H33"/>
      <c r="J33"/>
      <c r="L33"/>
      <c r="M33"/>
      <c r="N33"/>
    </row>
    <row r="34" spans="6:14" ht="15" customHeight="1" x14ac:dyDescent="0.2">
      <c r="F34"/>
      <c r="H34"/>
      <c r="J34"/>
      <c r="L34"/>
      <c r="M34"/>
      <c r="N34"/>
    </row>
    <row r="35" spans="6:14" ht="15" customHeight="1" x14ac:dyDescent="0.2">
      <c r="F35"/>
      <c r="H35"/>
      <c r="J35"/>
      <c r="L35"/>
      <c r="M35"/>
      <c r="N35"/>
    </row>
    <row r="36" spans="6:14" ht="15" customHeight="1" x14ac:dyDescent="0.2">
      <c r="F36"/>
      <c r="H36"/>
      <c r="J36"/>
      <c r="L36"/>
      <c r="M36"/>
      <c r="N36"/>
    </row>
    <row r="37" spans="6:14" ht="15" customHeight="1" x14ac:dyDescent="0.2">
      <c r="F37"/>
      <c r="H37"/>
      <c r="J37"/>
      <c r="L37"/>
      <c r="M37"/>
      <c r="N37"/>
    </row>
    <row r="38" spans="6:14" ht="15" customHeight="1" x14ac:dyDescent="0.2">
      <c r="F38"/>
      <c r="H38"/>
      <c r="J38"/>
      <c r="L38"/>
      <c r="M38"/>
      <c r="N38"/>
    </row>
    <row r="39" spans="6:14" ht="15" customHeight="1" x14ac:dyDescent="0.2">
      <c r="F39"/>
      <c r="H39"/>
      <c r="J39"/>
      <c r="L39"/>
      <c r="M39"/>
      <c r="N39"/>
    </row>
    <row r="40" spans="6:14" ht="15" customHeight="1" x14ac:dyDescent="0.2">
      <c r="F40"/>
      <c r="H40"/>
      <c r="J40"/>
      <c r="L40"/>
      <c r="M40"/>
      <c r="N40"/>
    </row>
    <row r="41" spans="6:14" ht="15" customHeight="1" x14ac:dyDescent="0.2">
      <c r="F41"/>
      <c r="H41"/>
      <c r="J41"/>
      <c r="L41"/>
      <c r="M41"/>
      <c r="N41"/>
    </row>
    <row r="42" spans="6:14" ht="15" customHeight="1" x14ac:dyDescent="0.2">
      <c r="F42"/>
      <c r="H42"/>
      <c r="J42"/>
      <c r="L42"/>
      <c r="M42"/>
      <c r="N42"/>
    </row>
    <row r="43" spans="6:14" ht="15" customHeight="1" x14ac:dyDescent="0.2">
      <c r="F43"/>
      <c r="H43"/>
      <c r="J43"/>
      <c r="L43"/>
      <c r="M43"/>
      <c r="N43"/>
    </row>
    <row r="44" spans="6:14" ht="15" customHeight="1" x14ac:dyDescent="0.2">
      <c r="F44"/>
      <c r="H44"/>
      <c r="J44"/>
      <c r="L44"/>
      <c r="M44"/>
      <c r="N44"/>
    </row>
    <row r="45" spans="6:14" ht="15" customHeight="1" x14ac:dyDescent="0.2">
      <c r="F45"/>
      <c r="H45"/>
      <c r="J45"/>
      <c r="L45"/>
      <c r="M45"/>
      <c r="N45"/>
    </row>
    <row r="46" spans="6:14" ht="15" customHeight="1" x14ac:dyDescent="0.2">
      <c r="F46"/>
      <c r="H46"/>
      <c r="J46"/>
      <c r="L46"/>
      <c r="M46"/>
      <c r="N46"/>
    </row>
    <row r="47" spans="6:14" x14ac:dyDescent="0.2">
      <c r="F47"/>
      <c r="H47"/>
      <c r="J47"/>
      <c r="L47"/>
      <c r="M47"/>
      <c r="N47"/>
    </row>
    <row r="48" spans="6:14" x14ac:dyDescent="0.2">
      <c r="F48"/>
      <c r="H48"/>
      <c r="J48"/>
      <c r="L48"/>
      <c r="M48"/>
      <c r="N48"/>
    </row>
    <row r="49" spans="3:16" x14ac:dyDescent="0.2">
      <c r="F49"/>
      <c r="H49"/>
      <c r="J49"/>
      <c r="L49"/>
      <c r="M49"/>
      <c r="N49"/>
    </row>
    <row r="50" spans="3:16" x14ac:dyDescent="0.2">
      <c r="F50"/>
      <c r="H50"/>
      <c r="J50"/>
      <c r="L50"/>
      <c r="M50"/>
      <c r="N50"/>
    </row>
    <row r="51" spans="3:16" x14ac:dyDescent="0.2">
      <c r="F51"/>
      <c r="H51"/>
      <c r="J51"/>
      <c r="L51"/>
      <c r="M51"/>
      <c r="N51"/>
    </row>
    <row r="52" spans="3:16" x14ac:dyDescent="0.2">
      <c r="F52"/>
      <c r="H52"/>
      <c r="J52"/>
      <c r="L52"/>
      <c r="M52"/>
      <c r="N52"/>
    </row>
    <row r="53" spans="3:16" x14ac:dyDescent="0.2">
      <c r="F53"/>
      <c r="H53"/>
      <c r="J53"/>
      <c r="L53"/>
      <c r="M53"/>
      <c r="N53"/>
    </row>
    <row r="54" spans="3:16" x14ac:dyDescent="0.2">
      <c r="F54"/>
      <c r="H54"/>
      <c r="J54"/>
      <c r="L54"/>
      <c r="M54"/>
      <c r="N54"/>
    </row>
    <row r="55" spans="3:16" x14ac:dyDescent="0.2">
      <c r="P55" s="417"/>
    </row>
    <row r="56" spans="3:16" x14ac:dyDescent="0.2">
      <c r="P56" s="417"/>
    </row>
    <row r="57" spans="3:16" x14ac:dyDescent="0.2">
      <c r="C57" s="47"/>
      <c r="D57" s="396"/>
      <c r="P57" s="417"/>
    </row>
    <row r="58" spans="3:16" x14ac:dyDescent="0.2">
      <c r="P58" s="417"/>
    </row>
    <row r="59" spans="3:16" x14ac:dyDescent="0.2">
      <c r="P59" s="417"/>
    </row>
    <row r="60" spans="3:16" x14ac:dyDescent="0.2">
      <c r="P60" s="416"/>
    </row>
    <row r="61" spans="3:16" x14ac:dyDescent="0.2">
      <c r="P61" s="416"/>
    </row>
    <row r="62" spans="3:16" x14ac:dyDescent="0.2">
      <c r="P62" s="416"/>
    </row>
    <row r="63" spans="3:16" x14ac:dyDescent="0.2">
      <c r="P63" s="416"/>
    </row>
    <row r="64" spans="3:16" x14ac:dyDescent="0.2">
      <c r="P64" s="416"/>
    </row>
    <row r="65" spans="16:16" customFormat="1" x14ac:dyDescent="0.2">
      <c r="P65" s="417"/>
    </row>
    <row r="66" spans="16:16" customFormat="1" x14ac:dyDescent="0.2">
      <c r="P66" s="417"/>
    </row>
    <row r="67" spans="16:16" customFormat="1" x14ac:dyDescent="0.2">
      <c r="P67" s="417"/>
    </row>
    <row r="68" spans="16:16" customFormat="1" x14ac:dyDescent="0.2">
      <c r="P68" s="417"/>
    </row>
    <row r="69" spans="16:16" customFormat="1" x14ac:dyDescent="0.2">
      <c r="P69" s="417"/>
    </row>
    <row r="70" spans="16:16" customFormat="1" x14ac:dyDescent="0.2">
      <c r="P70" s="416"/>
    </row>
    <row r="71" spans="16:16" customFormat="1" x14ac:dyDescent="0.2">
      <c r="P71" s="416"/>
    </row>
    <row r="72" spans="16:16" customFormat="1" x14ac:dyDescent="0.2">
      <c r="P72" s="417"/>
    </row>
    <row r="73" spans="16:16" customFormat="1" x14ac:dyDescent="0.2">
      <c r="P73" s="416"/>
    </row>
    <row r="74" spans="16:16" customFormat="1" x14ac:dyDescent="0.2">
      <c r="P74" s="417"/>
    </row>
    <row r="75" spans="16:16" customFormat="1" x14ac:dyDescent="0.2">
      <c r="P75" s="416"/>
    </row>
    <row r="76" spans="16:16" customFormat="1" x14ac:dyDescent="0.2">
      <c r="P76" s="417"/>
    </row>
    <row r="77" spans="16:16" customFormat="1" x14ac:dyDescent="0.2">
      <c r="P77" s="417"/>
    </row>
    <row r="78" spans="16:16" customFormat="1" x14ac:dyDescent="0.2">
      <c r="P78" s="417"/>
    </row>
    <row r="79" spans="16:16" customFormat="1" x14ac:dyDescent="0.2">
      <c r="P79" s="416"/>
    </row>
    <row r="80" spans="16:16" customFormat="1" x14ac:dyDescent="0.2">
      <c r="P80" s="417"/>
    </row>
    <row r="81" spans="16:16" customFormat="1" x14ac:dyDescent="0.2">
      <c r="P81" s="417"/>
    </row>
    <row r="82" spans="16:16" customFormat="1" x14ac:dyDescent="0.2">
      <c r="P82" s="417"/>
    </row>
    <row r="83" spans="16:16" customFormat="1" x14ac:dyDescent="0.2">
      <c r="P83" s="417"/>
    </row>
    <row r="84" spans="16:16" customFormat="1" x14ac:dyDescent="0.2">
      <c r="P84" s="417"/>
    </row>
    <row r="85" spans="16:16" customFormat="1" x14ac:dyDescent="0.2">
      <c r="P85" s="417"/>
    </row>
    <row r="86" spans="16:16" customFormat="1" x14ac:dyDescent="0.2">
      <c r="P86" s="417"/>
    </row>
    <row r="87" spans="16:16" customFormat="1" x14ac:dyDescent="0.2">
      <c r="P87" s="417"/>
    </row>
    <row r="88" spans="16:16" customFormat="1" x14ac:dyDescent="0.2">
      <c r="P88" s="417"/>
    </row>
    <row r="89" spans="16:16" customFormat="1" x14ac:dyDescent="0.2">
      <c r="P89" s="417"/>
    </row>
    <row r="90" spans="16:16" customFormat="1" x14ac:dyDescent="0.2">
      <c r="P90" s="417"/>
    </row>
    <row r="91" spans="16:16" customFormat="1" x14ac:dyDescent="0.2">
      <c r="P91" s="417"/>
    </row>
    <row r="92" spans="16:16" customFormat="1" x14ac:dyDescent="0.2">
      <c r="P92" s="417"/>
    </row>
    <row r="93" spans="16:16" customFormat="1" x14ac:dyDescent="0.2">
      <c r="P93" s="417"/>
    </row>
    <row r="94" spans="16:16" customFormat="1" x14ac:dyDescent="0.2">
      <c r="P94" s="417"/>
    </row>
    <row r="95" spans="16:16" customFormat="1" x14ac:dyDescent="0.2">
      <c r="P95" s="417"/>
    </row>
    <row r="96" spans="16:16" customFormat="1" x14ac:dyDescent="0.2">
      <c r="P96" s="416"/>
    </row>
    <row r="97" spans="16:16" customFormat="1" x14ac:dyDescent="0.2">
      <c r="P97" s="417"/>
    </row>
    <row r="98" spans="16:16" customFormat="1" x14ac:dyDescent="0.2">
      <c r="P98" s="417"/>
    </row>
    <row r="99" spans="16:16" customFormat="1" x14ac:dyDescent="0.2">
      <c r="P99" s="417"/>
    </row>
    <row r="100" spans="16:16" customFormat="1" x14ac:dyDescent="0.2">
      <c r="P100" s="417"/>
    </row>
    <row r="101" spans="16:16" customFormat="1" x14ac:dyDescent="0.2">
      <c r="P101" s="417"/>
    </row>
    <row r="102" spans="16:16" customFormat="1" x14ac:dyDescent="0.2">
      <c r="P102" s="417"/>
    </row>
    <row r="103" spans="16:16" customFormat="1" x14ac:dyDescent="0.2">
      <c r="P103" s="417"/>
    </row>
    <row r="104" spans="16:16" customFormat="1" x14ac:dyDescent="0.2">
      <c r="P104" s="417"/>
    </row>
    <row r="105" spans="16:16" customFormat="1" x14ac:dyDescent="0.2">
      <c r="P105" s="417"/>
    </row>
    <row r="106" spans="16:16" customFormat="1" x14ac:dyDescent="0.2">
      <c r="P106" s="417"/>
    </row>
    <row r="107" spans="16:16" customFormat="1" x14ac:dyDescent="0.2">
      <c r="P107" s="417"/>
    </row>
    <row r="108" spans="16:16" customFormat="1" x14ac:dyDescent="0.2">
      <c r="P108" s="417"/>
    </row>
    <row r="109" spans="16:16" customFormat="1" x14ac:dyDescent="0.2">
      <c r="P109" s="417"/>
    </row>
    <row r="110" spans="16:16" customFormat="1" x14ac:dyDescent="0.2">
      <c r="P110" s="417"/>
    </row>
    <row r="111" spans="16:16" customFormat="1" x14ac:dyDescent="0.2">
      <c r="P111" s="417"/>
    </row>
    <row r="112" spans="16:16" customFormat="1" x14ac:dyDescent="0.2">
      <c r="P112" s="417"/>
    </row>
    <row r="113" spans="16:16" customFormat="1" x14ac:dyDescent="0.2">
      <c r="P113" s="417"/>
    </row>
    <row r="114" spans="16:16" customFormat="1" x14ac:dyDescent="0.2">
      <c r="P114" s="417"/>
    </row>
    <row r="115" spans="16:16" customFormat="1" x14ac:dyDescent="0.2">
      <c r="P115" s="417"/>
    </row>
    <row r="116" spans="16:16" customFormat="1" x14ac:dyDescent="0.2">
      <c r="P116" s="417"/>
    </row>
    <row r="117" spans="16:16" customFormat="1" x14ac:dyDescent="0.2">
      <c r="P117" s="417"/>
    </row>
    <row r="118" spans="16:16" customFormat="1" x14ac:dyDescent="0.2">
      <c r="P118" s="416"/>
    </row>
    <row r="119" spans="16:16" customFormat="1" x14ac:dyDescent="0.2">
      <c r="P119" s="416"/>
    </row>
    <row r="120" spans="16:16" customFormat="1" x14ac:dyDescent="0.2">
      <c r="P120" s="416"/>
    </row>
    <row r="121" spans="16:16" customFormat="1" x14ac:dyDescent="0.2">
      <c r="P121" s="417"/>
    </row>
    <row r="122" spans="16:16" customFormat="1" x14ac:dyDescent="0.2">
      <c r="P122" s="417"/>
    </row>
    <row r="123" spans="16:16" customFormat="1" x14ac:dyDescent="0.2">
      <c r="P123" s="417"/>
    </row>
    <row r="124" spans="16:16" customFormat="1" x14ac:dyDescent="0.2">
      <c r="P124" s="417"/>
    </row>
    <row r="125" spans="16:16" customFormat="1" x14ac:dyDescent="0.2">
      <c r="P125" s="417"/>
    </row>
    <row r="126" spans="16:16" customFormat="1" x14ac:dyDescent="0.2">
      <c r="P126" s="417"/>
    </row>
    <row r="127" spans="16:16" customFormat="1" x14ac:dyDescent="0.2">
      <c r="P127" s="417"/>
    </row>
    <row r="128" spans="16:16" customFormat="1" x14ac:dyDescent="0.2">
      <c r="P128" s="416"/>
    </row>
    <row r="129" spans="16:16" customFormat="1" x14ac:dyDescent="0.2">
      <c r="P129" s="416"/>
    </row>
    <row r="130" spans="16:16" customFormat="1" x14ac:dyDescent="0.2">
      <c r="P130" s="416"/>
    </row>
    <row r="131" spans="16:16" customFormat="1" x14ac:dyDescent="0.2">
      <c r="P131" s="417"/>
    </row>
    <row r="132" spans="16:16" customFormat="1" x14ac:dyDescent="0.2">
      <c r="P132" s="41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71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R161"/>
  <sheetViews>
    <sheetView topLeftCell="A118" zoomScale="88" zoomScaleNormal="88" workbookViewId="0">
      <selection activeCell="B153" sqref="B153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.28515625" style="105" bestFit="1" customWidth="1"/>
    <col min="13" max="13" width="8.85546875" style="105" bestFit="1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6" ht="15" customHeight="1" thickBot="1" x14ac:dyDescent="0.3">
      <c r="A1" s="7" t="s">
        <v>19</v>
      </c>
      <c r="K1" s="105"/>
    </row>
    <row r="2" spans="1:16" ht="12.75" customHeight="1" x14ac:dyDescent="0.2">
      <c r="A2" s="8" t="s">
        <v>440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  <c r="O2"/>
    </row>
    <row r="3" spans="1:16" ht="12.75" customHeight="1" x14ac:dyDescent="0.2">
      <c r="A3" s="8" t="s">
        <v>458</v>
      </c>
      <c r="C3" s="174" t="s">
        <v>448</v>
      </c>
      <c r="D3" s="165">
        <v>2</v>
      </c>
      <c r="E3" s="95">
        <v>3</v>
      </c>
      <c r="F3" s="96" t="s">
        <v>36</v>
      </c>
      <c r="G3" s="95">
        <v>4</v>
      </c>
      <c r="H3" s="96" t="s">
        <v>37</v>
      </c>
      <c r="I3" s="95">
        <v>5</v>
      </c>
      <c r="J3" s="166" t="s">
        <v>38</v>
      </c>
      <c r="K3" s="95" t="s">
        <v>39</v>
      </c>
      <c r="L3" s="16" t="s">
        <v>40</v>
      </c>
      <c r="M3" s="156" t="s">
        <v>362</v>
      </c>
      <c r="O3"/>
    </row>
    <row r="4" spans="1:16" ht="14.1" customHeight="1" x14ac:dyDescent="0.2">
      <c r="A4" s="1"/>
      <c r="B4" s="2" t="s">
        <v>426</v>
      </c>
      <c r="C4" s="288" t="s">
        <v>13</v>
      </c>
      <c r="D4" s="289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286" t="s">
        <v>517</v>
      </c>
      <c r="O4"/>
    </row>
    <row r="5" spans="1:16" ht="14.1" customHeight="1" x14ac:dyDescent="0.2">
      <c r="A5" s="17" t="s">
        <v>53</v>
      </c>
      <c r="B5" s="13" t="s">
        <v>96</v>
      </c>
      <c r="C5" s="226">
        <v>199301489.00999999</v>
      </c>
      <c r="D5" s="233">
        <v>189491913.53999999</v>
      </c>
      <c r="E5" s="33">
        <v>182591245.71000001</v>
      </c>
      <c r="F5" s="86">
        <f>+E5/D5</f>
        <v>0.96358331233726591</v>
      </c>
      <c r="G5" s="33">
        <v>182591245.71000001</v>
      </c>
      <c r="H5" s="86">
        <f>+G5/D5</f>
        <v>0.96358331233726591</v>
      </c>
      <c r="I5" s="33">
        <v>182591245.71000001</v>
      </c>
      <c r="J5" s="190">
        <f>+I5/D5</f>
        <v>0.96358331233726591</v>
      </c>
      <c r="K5" s="462">
        <v>165429002.31999999</v>
      </c>
      <c r="L5" s="196">
        <v>0.93838817384474427</v>
      </c>
      <c r="M5" s="183">
        <f>+I5/K5-1</f>
        <v>0.10374386080623266</v>
      </c>
      <c r="O5"/>
    </row>
    <row r="6" spans="1:16" ht="14.1" customHeight="1" x14ac:dyDescent="0.2">
      <c r="A6" s="18">
        <v>0</v>
      </c>
      <c r="B6" s="2" t="s">
        <v>96</v>
      </c>
      <c r="C6" s="228">
        <f>SUBTOTAL(9,C5:C5)</f>
        <v>199301489.00999999</v>
      </c>
      <c r="D6" s="235">
        <f>SUBTOTAL(9,D5:D5)</f>
        <v>189491913.53999999</v>
      </c>
      <c r="E6" s="230">
        <f>SUBTOTAL(9,E5:E5)</f>
        <v>182591245.71000001</v>
      </c>
      <c r="F6" s="98">
        <f t="shared" ref="F6:F75" si="0">+E6/D6</f>
        <v>0.96358331233726591</v>
      </c>
      <c r="G6" s="230">
        <f>SUBTOTAL(9,G5:G5)</f>
        <v>182591245.71000001</v>
      </c>
      <c r="H6" s="98">
        <f t="shared" ref="H6:H75" si="1">+G6/D6</f>
        <v>0.96358331233726591</v>
      </c>
      <c r="I6" s="230">
        <f>SUBTOTAL(9,I5:I5)</f>
        <v>182591245.71000001</v>
      </c>
      <c r="J6" s="188">
        <f t="shared" ref="J6:J75" si="2">+I6/D6</f>
        <v>0.96358331233726591</v>
      </c>
      <c r="K6" s="92">
        <f>SUBTOTAL(9,K5:K5)</f>
        <v>165429002.31999999</v>
      </c>
      <c r="L6" s="44">
        <v>0.93799999999999994</v>
      </c>
      <c r="M6" s="161">
        <f t="shared" ref="M6:M76" si="3">+I6/K6-1</f>
        <v>0.10374386080623266</v>
      </c>
      <c r="O6"/>
    </row>
    <row r="7" spans="1:16" ht="14.1" customHeight="1" x14ac:dyDescent="0.2">
      <c r="A7" s="38" t="s">
        <v>54</v>
      </c>
      <c r="B7" s="39" t="s">
        <v>549</v>
      </c>
      <c r="C7" s="226">
        <v>7623547.1299999999</v>
      </c>
      <c r="D7" s="233">
        <v>8978670.6699999999</v>
      </c>
      <c r="E7" s="33">
        <v>9192657.6899999995</v>
      </c>
      <c r="F7" s="49">
        <f t="shared" si="0"/>
        <v>1.0238328175589493</v>
      </c>
      <c r="G7" s="33">
        <v>8953582.2300000004</v>
      </c>
      <c r="H7" s="49">
        <f t="shared" si="1"/>
        <v>0.99720577344663874</v>
      </c>
      <c r="I7" s="33">
        <v>7911339.1399999997</v>
      </c>
      <c r="J7" s="170">
        <f t="shared" si="2"/>
        <v>0.88112588497468525</v>
      </c>
      <c r="K7" s="459">
        <v>7612997.6699999999</v>
      </c>
      <c r="L7" s="196">
        <v>0.77306024907872772</v>
      </c>
      <c r="M7" s="158">
        <f t="shared" si="3"/>
        <v>3.9188435742684158E-2</v>
      </c>
    </row>
    <row r="8" spans="1:16" ht="14.1" customHeight="1" x14ac:dyDescent="0.2">
      <c r="A8" s="40" t="s">
        <v>55</v>
      </c>
      <c r="B8" s="41" t="s">
        <v>106</v>
      </c>
      <c r="C8" s="226">
        <v>167280142.05000001</v>
      </c>
      <c r="D8" s="233">
        <v>173995471.94</v>
      </c>
      <c r="E8" s="33">
        <v>154150263.47999999</v>
      </c>
      <c r="F8" s="321">
        <f t="shared" si="0"/>
        <v>0.88594410970164006</v>
      </c>
      <c r="G8" s="33">
        <v>153519286.59</v>
      </c>
      <c r="H8" s="321">
        <f t="shared" si="1"/>
        <v>0.88231771136515014</v>
      </c>
      <c r="I8" s="33">
        <v>149314676.97999999</v>
      </c>
      <c r="J8" s="196">
        <f t="shared" si="2"/>
        <v>0.85815265946397246</v>
      </c>
      <c r="K8" s="460">
        <v>146882861.78</v>
      </c>
      <c r="L8" s="196">
        <v>0.86582052649812535</v>
      </c>
      <c r="M8" s="269">
        <f t="shared" si="3"/>
        <v>1.655615345813688E-2</v>
      </c>
      <c r="N8" s="54" t="s">
        <v>148</v>
      </c>
    </row>
    <row r="9" spans="1:16" ht="14.1" customHeight="1" x14ac:dyDescent="0.2">
      <c r="A9" s="40" t="s">
        <v>56</v>
      </c>
      <c r="B9" s="41" t="s">
        <v>122</v>
      </c>
      <c r="C9" s="226">
        <v>51836587</v>
      </c>
      <c r="D9" s="233">
        <v>51686828.299999997</v>
      </c>
      <c r="E9" s="33">
        <v>0</v>
      </c>
      <c r="F9" s="321" t="s">
        <v>129</v>
      </c>
      <c r="G9" s="33">
        <v>0</v>
      </c>
      <c r="H9" s="321" t="s">
        <v>129</v>
      </c>
      <c r="I9" s="33">
        <v>0</v>
      </c>
      <c r="J9" s="196" t="s">
        <v>129</v>
      </c>
      <c r="K9" s="460">
        <v>13395602.609999999</v>
      </c>
      <c r="L9" s="196">
        <v>0.17782595966735154</v>
      </c>
      <c r="M9" s="158">
        <f t="shared" si="3"/>
        <v>-1</v>
      </c>
      <c r="O9" s="317"/>
    </row>
    <row r="10" spans="1:16" ht="14.1" customHeight="1" x14ac:dyDescent="0.2">
      <c r="A10" s="40">
        <v>134</v>
      </c>
      <c r="B10" s="41" t="s">
        <v>480</v>
      </c>
      <c r="C10" s="226">
        <v>15868431.810000001</v>
      </c>
      <c r="D10" s="233">
        <v>20388638.280000001</v>
      </c>
      <c r="E10" s="33">
        <v>19268735.34</v>
      </c>
      <c r="F10" s="321">
        <f t="shared" si="0"/>
        <v>0.94507220518505364</v>
      </c>
      <c r="G10" s="33">
        <v>18745580.690000001</v>
      </c>
      <c r="H10" s="321">
        <f t="shared" si="1"/>
        <v>0.91941307862567079</v>
      </c>
      <c r="I10" s="33">
        <v>11059720.939999999</v>
      </c>
      <c r="J10" s="196">
        <f t="shared" si="2"/>
        <v>0.54244529664587282</v>
      </c>
      <c r="K10" s="460"/>
      <c r="L10" s="196"/>
      <c r="M10" s="159" t="s">
        <v>129</v>
      </c>
      <c r="N10" t="s">
        <v>525</v>
      </c>
      <c r="O10" s="317"/>
    </row>
    <row r="11" spans="1:16" ht="14.1" customHeight="1" x14ac:dyDescent="0.2">
      <c r="A11" s="40" t="s">
        <v>57</v>
      </c>
      <c r="B11" s="41" t="s">
        <v>487</v>
      </c>
      <c r="C11" s="226">
        <v>1692440.07</v>
      </c>
      <c r="D11" s="233">
        <v>329402.94</v>
      </c>
      <c r="E11" s="33">
        <v>385426.93</v>
      </c>
      <c r="F11" s="321">
        <f t="shared" si="0"/>
        <v>1.1700773830373219</v>
      </c>
      <c r="G11" s="33">
        <v>385426.93</v>
      </c>
      <c r="H11" s="321">
        <f t="shared" si="1"/>
        <v>1.1700773830373219</v>
      </c>
      <c r="I11" s="33">
        <v>385426.93</v>
      </c>
      <c r="J11" s="196">
        <f t="shared" si="2"/>
        <v>1.1700773830373219</v>
      </c>
      <c r="K11" s="460"/>
      <c r="L11" s="196"/>
      <c r="M11" s="159" t="s">
        <v>129</v>
      </c>
      <c r="N11" t="s">
        <v>525</v>
      </c>
      <c r="O11" s="316"/>
    </row>
    <row r="12" spans="1:16" ht="14.1" customHeight="1" x14ac:dyDescent="0.2">
      <c r="A12" s="40">
        <v>136</v>
      </c>
      <c r="B12" s="41" t="s">
        <v>481</v>
      </c>
      <c r="C12" s="226">
        <v>39090866.25</v>
      </c>
      <c r="D12" s="233">
        <v>44016975.340000004</v>
      </c>
      <c r="E12" s="33">
        <v>38550804.630000003</v>
      </c>
      <c r="F12" s="321">
        <f t="shared" si="0"/>
        <v>0.87581675778997314</v>
      </c>
      <c r="G12" s="33">
        <v>38203119.439999998</v>
      </c>
      <c r="H12" s="321">
        <f t="shared" si="1"/>
        <v>0.86791786907001034</v>
      </c>
      <c r="I12" s="33">
        <v>36519642.649999999</v>
      </c>
      <c r="J12" s="196">
        <f t="shared" si="2"/>
        <v>0.82967178839326394</v>
      </c>
      <c r="K12" s="460">
        <v>36273307.909999996</v>
      </c>
      <c r="L12" s="196">
        <v>0.82340300389684562</v>
      </c>
      <c r="M12" s="159">
        <f>+I12/K12-1</f>
        <v>6.7910745998462918E-3</v>
      </c>
      <c r="N12" t="s">
        <v>526</v>
      </c>
      <c r="O12" s="316"/>
    </row>
    <row r="13" spans="1:16" ht="14.1" customHeight="1" x14ac:dyDescent="0.2">
      <c r="A13" s="40" t="s">
        <v>58</v>
      </c>
      <c r="B13" s="41" t="s">
        <v>519</v>
      </c>
      <c r="C13" s="226">
        <v>19474656.210000001</v>
      </c>
      <c r="D13" s="233">
        <v>24469230.030000001</v>
      </c>
      <c r="E13" s="33">
        <v>24055386.739999998</v>
      </c>
      <c r="F13" s="321">
        <f t="shared" si="0"/>
        <v>0.98308719606245809</v>
      </c>
      <c r="G13" s="33">
        <v>23614952.149999999</v>
      </c>
      <c r="H13" s="321">
        <f t="shared" si="1"/>
        <v>0.96508766810591784</v>
      </c>
      <c r="I13" s="33">
        <v>19112103.960000001</v>
      </c>
      <c r="J13" s="196">
        <f t="shared" si="2"/>
        <v>0.78106683114131481</v>
      </c>
      <c r="K13" s="460">
        <v>17110722.75</v>
      </c>
      <c r="L13" s="196">
        <v>0.61650103735771755</v>
      </c>
      <c r="M13" s="159">
        <f t="shared" si="3"/>
        <v>0.11696649166967532</v>
      </c>
      <c r="O13" s="316"/>
      <c r="P13" s="316"/>
    </row>
    <row r="14" spans="1:16" ht="14.1" customHeight="1" x14ac:dyDescent="0.2">
      <c r="A14" s="40" t="s">
        <v>59</v>
      </c>
      <c r="B14" s="41" t="s">
        <v>488</v>
      </c>
      <c r="C14" s="226">
        <v>248187563.34999999</v>
      </c>
      <c r="D14" s="233">
        <v>281080085.56</v>
      </c>
      <c r="E14" s="33">
        <v>234540132.27000001</v>
      </c>
      <c r="F14" s="321">
        <f t="shared" si="0"/>
        <v>0.83442457975178941</v>
      </c>
      <c r="G14" s="33">
        <v>234246512.5</v>
      </c>
      <c r="H14" s="321">
        <f t="shared" si="1"/>
        <v>0.83337996725490959</v>
      </c>
      <c r="I14" s="33">
        <v>228340965.46000001</v>
      </c>
      <c r="J14" s="196">
        <f t="shared" si="2"/>
        <v>0.81236977356497142</v>
      </c>
      <c r="K14" s="460">
        <v>220640602.13</v>
      </c>
      <c r="L14" s="196">
        <v>0.72585969347149271</v>
      </c>
      <c r="M14" s="159">
        <f t="shared" si="3"/>
        <v>3.4900028624210488E-2</v>
      </c>
      <c r="O14" s="316"/>
      <c r="P14" s="316"/>
    </row>
    <row r="15" spans="1:16" ht="14.1" customHeight="1" x14ac:dyDescent="0.2">
      <c r="A15" s="40">
        <v>152</v>
      </c>
      <c r="B15" s="41" t="s">
        <v>482</v>
      </c>
      <c r="C15" s="226">
        <v>31658076.68</v>
      </c>
      <c r="D15" s="233">
        <v>46172345.909999996</v>
      </c>
      <c r="E15" s="33">
        <v>35782345.909999996</v>
      </c>
      <c r="F15" s="321">
        <f t="shared" si="0"/>
        <v>0.77497353025439986</v>
      </c>
      <c r="G15" s="33">
        <v>35763000.060000002</v>
      </c>
      <c r="H15" s="321">
        <f t="shared" si="1"/>
        <v>0.77455453811486885</v>
      </c>
      <c r="I15" s="33">
        <v>27666140.390000001</v>
      </c>
      <c r="J15" s="196">
        <f t="shared" si="2"/>
        <v>0.59919286847428899</v>
      </c>
      <c r="K15" s="460">
        <v>28321702.77</v>
      </c>
      <c r="L15" s="196">
        <v>0.25740598383666902</v>
      </c>
      <c r="M15" s="159">
        <f t="shared" si="3"/>
        <v>-2.314699738655579E-2</v>
      </c>
      <c r="N15" t="s">
        <v>527</v>
      </c>
      <c r="O15" s="316"/>
      <c r="P15" s="316"/>
    </row>
    <row r="16" spans="1:16" ht="14.1" customHeight="1" x14ac:dyDescent="0.2">
      <c r="A16" s="40" t="s">
        <v>60</v>
      </c>
      <c r="B16" s="41" t="s">
        <v>489</v>
      </c>
      <c r="C16" s="226">
        <v>76359469.819999993</v>
      </c>
      <c r="D16" s="233">
        <v>99340630.829999998</v>
      </c>
      <c r="E16" s="33">
        <v>80836215.569999993</v>
      </c>
      <c r="F16" s="321">
        <f t="shared" si="0"/>
        <v>0.81372762478560956</v>
      </c>
      <c r="G16" s="33">
        <v>79903469.219999999</v>
      </c>
      <c r="H16" s="321">
        <f t="shared" si="1"/>
        <v>0.80433825064728548</v>
      </c>
      <c r="I16" s="33">
        <v>63609781.630000003</v>
      </c>
      <c r="J16" s="196">
        <f t="shared" si="2"/>
        <v>0.64031988823238284</v>
      </c>
      <c r="K16" s="460">
        <v>43541301</v>
      </c>
      <c r="L16" s="196">
        <v>0.72</v>
      </c>
      <c r="M16" s="159">
        <f t="shared" si="3"/>
        <v>0.46090677515584577</v>
      </c>
      <c r="N16" t="s">
        <v>528</v>
      </c>
      <c r="O16" s="316"/>
    </row>
    <row r="17" spans="1:15" ht="14.1" customHeight="1" x14ac:dyDescent="0.2">
      <c r="A17" s="40">
        <v>160</v>
      </c>
      <c r="B17" s="41" t="s">
        <v>162</v>
      </c>
      <c r="C17" s="226">
        <v>22800419.210000001</v>
      </c>
      <c r="D17" s="233">
        <v>24805306.370000001</v>
      </c>
      <c r="E17" s="33">
        <v>23993648.370000001</v>
      </c>
      <c r="F17" s="321">
        <f t="shared" si="0"/>
        <v>0.96727885606840824</v>
      </c>
      <c r="G17" s="33">
        <v>23993648.370000001</v>
      </c>
      <c r="H17" s="321">
        <f t="shared" si="1"/>
        <v>0.96727885606840824</v>
      </c>
      <c r="I17" s="33">
        <v>20079580.66</v>
      </c>
      <c r="J17" s="196">
        <f t="shared" si="2"/>
        <v>0.80948730729182283</v>
      </c>
      <c r="K17" s="460">
        <v>22561046.5</v>
      </c>
      <c r="L17" s="196">
        <v>0.91474615480195498</v>
      </c>
      <c r="M17" s="159">
        <f t="shared" si="3"/>
        <v>-0.10998895108877149</v>
      </c>
      <c r="N17" t="s">
        <v>529</v>
      </c>
      <c r="O17" s="316"/>
    </row>
    <row r="18" spans="1:15" ht="14.1" customHeight="1" x14ac:dyDescent="0.2">
      <c r="A18" s="40" t="s">
        <v>61</v>
      </c>
      <c r="B18" s="41" t="s">
        <v>490</v>
      </c>
      <c r="C18" s="226">
        <v>2253145.13</v>
      </c>
      <c r="D18" s="233">
        <v>3521692.8</v>
      </c>
      <c r="E18" s="33">
        <v>3520457.73</v>
      </c>
      <c r="F18" s="321">
        <f t="shared" si="0"/>
        <v>0.99964929649741174</v>
      </c>
      <c r="G18" s="33">
        <v>3520457.73</v>
      </c>
      <c r="H18" s="321">
        <f t="shared" si="1"/>
        <v>0.99964929649741174</v>
      </c>
      <c r="I18" s="33">
        <v>2977929.85</v>
      </c>
      <c r="J18" s="196">
        <f t="shared" si="2"/>
        <v>0.84559614342284495</v>
      </c>
      <c r="K18" s="460"/>
      <c r="L18" s="196"/>
      <c r="M18" s="159" t="s">
        <v>129</v>
      </c>
      <c r="N18" t="s">
        <v>525</v>
      </c>
    </row>
    <row r="19" spans="1:15" ht="14.1" customHeight="1" x14ac:dyDescent="0.2">
      <c r="A19" s="40" t="s">
        <v>62</v>
      </c>
      <c r="B19" s="41" t="s">
        <v>121</v>
      </c>
      <c r="C19" s="226">
        <v>158630554.56</v>
      </c>
      <c r="D19" s="233">
        <v>148194900.94999999</v>
      </c>
      <c r="E19" s="33">
        <v>145583905.43000001</v>
      </c>
      <c r="F19" s="321">
        <f t="shared" si="0"/>
        <v>0.98238134036149516</v>
      </c>
      <c r="G19" s="33">
        <v>145583905.43000001</v>
      </c>
      <c r="H19" s="321">
        <f t="shared" si="1"/>
        <v>0.98238134036149516</v>
      </c>
      <c r="I19" s="33">
        <v>112662765.19</v>
      </c>
      <c r="J19" s="196">
        <f t="shared" si="2"/>
        <v>0.7602337493920367</v>
      </c>
      <c r="K19" s="460">
        <v>108736023.19</v>
      </c>
      <c r="L19" s="196">
        <v>0.72750041870187254</v>
      </c>
      <c r="M19" s="159">
        <f t="shared" si="3"/>
        <v>3.6112613693243256E-2</v>
      </c>
    </row>
    <row r="20" spans="1:15" ht="14.1" customHeight="1" x14ac:dyDescent="0.2">
      <c r="A20" s="40" t="s">
        <v>63</v>
      </c>
      <c r="B20" s="41" t="s">
        <v>98</v>
      </c>
      <c r="C20" s="226">
        <v>168939654.47999999</v>
      </c>
      <c r="D20" s="233">
        <v>176954487.46000001</v>
      </c>
      <c r="E20" s="33">
        <v>176635268.33000001</v>
      </c>
      <c r="F20" s="321">
        <f t="shared" si="0"/>
        <v>0.99819603823230452</v>
      </c>
      <c r="G20" s="33">
        <v>176633758.53999999</v>
      </c>
      <c r="H20" s="321">
        <f t="shared" si="1"/>
        <v>0.99818750615141916</v>
      </c>
      <c r="I20" s="33">
        <v>133270261.95</v>
      </c>
      <c r="J20" s="196">
        <f t="shared" si="2"/>
        <v>0.7531329883912965</v>
      </c>
      <c r="K20" s="460">
        <v>133248672.26000001</v>
      </c>
      <c r="L20" s="196">
        <v>0.76379535542147925</v>
      </c>
      <c r="M20" s="159">
        <f t="shared" si="3"/>
        <v>1.6202555443012301E-4</v>
      </c>
    </row>
    <row r="21" spans="1:15" ht="14.1" customHeight="1" x14ac:dyDescent="0.2">
      <c r="A21" s="40" t="s">
        <v>64</v>
      </c>
      <c r="B21" s="41" t="s">
        <v>504</v>
      </c>
      <c r="C21" s="226">
        <v>12029885</v>
      </c>
      <c r="D21" s="233">
        <v>12029885</v>
      </c>
      <c r="E21" s="33">
        <v>0</v>
      </c>
      <c r="F21" s="321" t="s">
        <v>129</v>
      </c>
      <c r="G21" s="33">
        <v>0</v>
      </c>
      <c r="H21" s="321" t="s">
        <v>129</v>
      </c>
      <c r="I21" s="33">
        <v>0</v>
      </c>
      <c r="J21" s="196" t="s">
        <v>129</v>
      </c>
      <c r="K21" s="460">
        <v>0</v>
      </c>
      <c r="L21" s="196">
        <v>0</v>
      </c>
      <c r="M21" s="159" t="s">
        <v>129</v>
      </c>
    </row>
    <row r="22" spans="1:15" ht="14.1" customHeight="1" x14ac:dyDescent="0.2">
      <c r="A22" s="40" t="s">
        <v>65</v>
      </c>
      <c r="B22" s="41" t="s">
        <v>99</v>
      </c>
      <c r="C22" s="226">
        <v>36992943.420000002</v>
      </c>
      <c r="D22" s="233">
        <v>38514646.079999998</v>
      </c>
      <c r="E22" s="33">
        <v>38351722.329999998</v>
      </c>
      <c r="F22" s="321">
        <f t="shared" si="0"/>
        <v>0.99576982351956222</v>
      </c>
      <c r="G22" s="33">
        <v>38351321.640000001</v>
      </c>
      <c r="H22" s="321">
        <f t="shared" si="1"/>
        <v>0.99575941994479833</v>
      </c>
      <c r="I22" s="33">
        <v>30571146.5</v>
      </c>
      <c r="J22" s="196">
        <f t="shared" si="2"/>
        <v>0.79375379528347989</v>
      </c>
      <c r="K22" s="460">
        <v>25311556.27</v>
      </c>
      <c r="L22" s="196">
        <v>0.77818908915080531</v>
      </c>
      <c r="M22" s="159">
        <f t="shared" si="3"/>
        <v>0.20779402790945034</v>
      </c>
    </row>
    <row r="23" spans="1:15" ht="14.1" customHeight="1" x14ac:dyDescent="0.2">
      <c r="A23" s="40" t="s">
        <v>66</v>
      </c>
      <c r="B23" s="41" t="s">
        <v>112</v>
      </c>
      <c r="C23" s="226">
        <v>1332914.3600000001</v>
      </c>
      <c r="D23" s="233">
        <v>2398914.36</v>
      </c>
      <c r="E23" s="33">
        <v>2394866.56</v>
      </c>
      <c r="F23" s="321">
        <f t="shared" si="0"/>
        <v>0.99831265339543018</v>
      </c>
      <c r="G23" s="33">
        <v>2328883.25</v>
      </c>
      <c r="H23" s="321">
        <f t="shared" si="1"/>
        <v>0.97080716545462675</v>
      </c>
      <c r="I23" s="33">
        <v>2194951.5</v>
      </c>
      <c r="J23" s="196">
        <f t="shared" si="2"/>
        <v>0.91497701485266869</v>
      </c>
      <c r="K23" s="460">
        <v>1103449.82</v>
      </c>
      <c r="L23" s="196">
        <v>0.6832506625386997</v>
      </c>
      <c r="M23" s="159">
        <f t="shared" si="3"/>
        <v>0.98917201327741378</v>
      </c>
    </row>
    <row r="24" spans="1:15" ht="14.1" customHeight="1" x14ac:dyDescent="0.2">
      <c r="A24" s="40" t="s">
        <v>67</v>
      </c>
      <c r="B24" s="41" t="s">
        <v>109</v>
      </c>
      <c r="C24" s="226">
        <v>54635171.149999999</v>
      </c>
      <c r="D24" s="233">
        <v>51857779.859999999</v>
      </c>
      <c r="E24" s="33">
        <v>49262373.82</v>
      </c>
      <c r="F24" s="321">
        <f t="shared" si="0"/>
        <v>0.94995146249980633</v>
      </c>
      <c r="G24" s="33">
        <v>49260647.57</v>
      </c>
      <c r="H24" s="321">
        <f t="shared" si="1"/>
        <v>0.94991817434121828</v>
      </c>
      <c r="I24" s="33">
        <v>41073776.689999998</v>
      </c>
      <c r="J24" s="196">
        <f t="shared" si="2"/>
        <v>0.79204657046419102</v>
      </c>
      <c r="K24" s="460">
        <v>47023698.75</v>
      </c>
      <c r="L24" s="196">
        <v>0.94079746783299534</v>
      </c>
      <c r="M24" s="159">
        <f t="shared" si="3"/>
        <v>-0.12653028617830708</v>
      </c>
    </row>
    <row r="25" spans="1:15" ht="14.1" customHeight="1" x14ac:dyDescent="0.2">
      <c r="A25" s="42">
        <v>172</v>
      </c>
      <c r="B25" s="43" t="s">
        <v>483</v>
      </c>
      <c r="C25" s="226">
        <v>3147933.73</v>
      </c>
      <c r="D25" s="233">
        <v>3288373.99</v>
      </c>
      <c r="E25" s="33">
        <v>3053531.47</v>
      </c>
      <c r="F25" s="321">
        <f t="shared" si="0"/>
        <v>0.92858399904811317</v>
      </c>
      <c r="G25" s="33">
        <v>2883425.69</v>
      </c>
      <c r="H25" s="321">
        <f t="shared" si="1"/>
        <v>0.8768545484085889</v>
      </c>
      <c r="I25" s="33">
        <v>2175925.5</v>
      </c>
      <c r="J25" s="196">
        <f t="shared" si="2"/>
        <v>0.66170256382547288</v>
      </c>
      <c r="K25" s="35"/>
      <c r="L25" s="458"/>
      <c r="M25" s="159" t="s">
        <v>129</v>
      </c>
      <c r="N25" t="s">
        <v>525</v>
      </c>
    </row>
    <row r="26" spans="1:15" ht="14.1" customHeight="1" x14ac:dyDescent="0.2">
      <c r="A26" s="42" t="s">
        <v>68</v>
      </c>
      <c r="B26" s="43" t="s">
        <v>131</v>
      </c>
      <c r="C26" s="226">
        <v>2411275.08</v>
      </c>
      <c r="D26" s="233">
        <v>2830088.35</v>
      </c>
      <c r="E26" s="33">
        <v>2821490.62</v>
      </c>
      <c r="F26" s="456">
        <f t="shared" si="0"/>
        <v>0.99696202770489484</v>
      </c>
      <c r="G26" s="33">
        <v>2803549.45</v>
      </c>
      <c r="H26" s="456">
        <f t="shared" si="1"/>
        <v>0.99062258957392624</v>
      </c>
      <c r="I26" s="33">
        <v>2427220.4300000002</v>
      </c>
      <c r="J26" s="458">
        <f t="shared" si="2"/>
        <v>0.85764828861261522</v>
      </c>
      <c r="K26" s="35">
        <v>3356613.21</v>
      </c>
      <c r="L26" s="458">
        <v>0.56427412638496788</v>
      </c>
      <c r="M26" s="159">
        <f t="shared" si="3"/>
        <v>-0.27688408578955681</v>
      </c>
    </row>
    <row r="27" spans="1:15" ht="14.1" customHeight="1" x14ac:dyDescent="0.2">
      <c r="A27" s="18">
        <v>1</v>
      </c>
      <c r="B27" s="2" t="s">
        <v>126</v>
      </c>
      <c r="C27" s="228">
        <f>SUBTOTAL(9,C7:C26)</f>
        <v>1122245676.49</v>
      </c>
      <c r="D27" s="235">
        <f>SUBTOTAL(9,D7:D26)</f>
        <v>1214854355.0199995</v>
      </c>
      <c r="E27" s="230">
        <f>SUBTOTAL(9,E7:E26)</f>
        <v>1042379233.22</v>
      </c>
      <c r="F27" s="98">
        <f t="shared" si="0"/>
        <v>0.85802814873461919</v>
      </c>
      <c r="G27" s="230">
        <f>SUBTOTAL(9,G7:G26)</f>
        <v>1038694527.48</v>
      </c>
      <c r="H27" s="98">
        <f t="shared" si="1"/>
        <v>0.85499510553501745</v>
      </c>
      <c r="I27" s="230">
        <f>SUBTOTAL(9,I7:I26)</f>
        <v>891353356.35000002</v>
      </c>
      <c r="J27" s="188">
        <f t="shared" si="2"/>
        <v>0.7337121134453406</v>
      </c>
      <c r="K27" s="92">
        <f>SUBTOTAL(9,K7:K26)</f>
        <v>855120158.62</v>
      </c>
      <c r="L27" s="44">
        <v>0.68</v>
      </c>
      <c r="M27" s="161">
        <f t="shared" si="3"/>
        <v>4.2372054225073397E-2</v>
      </c>
    </row>
    <row r="28" spans="1:15" ht="14.1" customHeight="1" x14ac:dyDescent="0.2">
      <c r="A28" s="38" t="s">
        <v>69</v>
      </c>
      <c r="B28" s="39" t="s">
        <v>100</v>
      </c>
      <c r="C28" s="226">
        <v>708758.5</v>
      </c>
      <c r="D28" s="233">
        <v>654494.4</v>
      </c>
      <c r="E28" s="33">
        <v>554349.35</v>
      </c>
      <c r="F28" s="49">
        <f t="shared" si="0"/>
        <v>0.84698868317284293</v>
      </c>
      <c r="G28" s="33">
        <v>554349.35</v>
      </c>
      <c r="H28" s="49">
        <f t="shared" si="1"/>
        <v>0.84698868317284293</v>
      </c>
      <c r="I28" s="33">
        <v>554349.35</v>
      </c>
      <c r="J28" s="170">
        <f t="shared" si="2"/>
        <v>0.84698868317284293</v>
      </c>
      <c r="K28" s="459">
        <v>649314.97</v>
      </c>
      <c r="L28" s="170">
        <v>0.91929148088595969</v>
      </c>
      <c r="M28" s="158">
        <f t="shared" si="3"/>
        <v>-0.14625509096147904</v>
      </c>
    </row>
    <row r="29" spans="1:15" ht="14.1" customHeight="1" x14ac:dyDescent="0.2">
      <c r="A29" s="40" t="s">
        <v>70</v>
      </c>
      <c r="B29" s="41" t="s">
        <v>520</v>
      </c>
      <c r="C29" s="226">
        <v>21205708.129999999</v>
      </c>
      <c r="D29" s="233">
        <v>21088169.829999998</v>
      </c>
      <c r="E29" s="33">
        <v>18743295.239999998</v>
      </c>
      <c r="F29" s="321">
        <f t="shared" si="0"/>
        <v>0.8888061596192105</v>
      </c>
      <c r="G29" s="33">
        <v>17962787.670000002</v>
      </c>
      <c r="H29" s="321">
        <f t="shared" si="1"/>
        <v>0.85179452815512546</v>
      </c>
      <c r="I29" s="33">
        <v>16667636.76</v>
      </c>
      <c r="J29" s="196">
        <f t="shared" si="2"/>
        <v>0.79037853423812265</v>
      </c>
      <c r="K29" s="460">
        <v>17682313.199999999</v>
      </c>
      <c r="L29" s="196">
        <v>0.71450327186980411</v>
      </c>
      <c r="M29" s="159">
        <f t="shared" si="3"/>
        <v>-5.7383693441195205E-2</v>
      </c>
    </row>
    <row r="30" spans="1:15" ht="14.1" customHeight="1" x14ac:dyDescent="0.2">
      <c r="A30" s="40" t="s">
        <v>71</v>
      </c>
      <c r="B30" s="41" t="s">
        <v>491</v>
      </c>
      <c r="C30" s="226">
        <v>180790299.88999999</v>
      </c>
      <c r="D30" s="233">
        <v>199675904.16999999</v>
      </c>
      <c r="E30" s="33">
        <v>185314293.81</v>
      </c>
      <c r="F30" s="321">
        <f t="shared" si="0"/>
        <v>0.9280753958786494</v>
      </c>
      <c r="G30" s="33">
        <v>184516696.80000001</v>
      </c>
      <c r="H30" s="321">
        <f t="shared" si="1"/>
        <v>0.9240809378927678</v>
      </c>
      <c r="I30" s="33">
        <v>164648517.47</v>
      </c>
      <c r="J30" s="196">
        <f t="shared" si="2"/>
        <v>0.82457880010309914</v>
      </c>
      <c r="K30" s="461">
        <v>157386300</v>
      </c>
      <c r="L30" s="196">
        <v>0.91300000000000003</v>
      </c>
      <c r="M30" s="159">
        <f t="shared" si="3"/>
        <v>4.6142627852614915E-2</v>
      </c>
      <c r="N30" t="s">
        <v>530</v>
      </c>
    </row>
    <row r="31" spans="1:15" ht="14.1" customHeight="1" x14ac:dyDescent="0.2">
      <c r="A31" s="40" t="s">
        <v>72</v>
      </c>
      <c r="B31" s="41" t="s">
        <v>101</v>
      </c>
      <c r="C31" s="226">
        <v>29950298.399999999</v>
      </c>
      <c r="D31" s="233">
        <v>32805012.129999999</v>
      </c>
      <c r="E31" s="33">
        <v>30094252.41</v>
      </c>
      <c r="F31" s="321">
        <f t="shared" si="0"/>
        <v>0.91736751355988599</v>
      </c>
      <c r="G31" s="33">
        <v>27959562.449999999</v>
      </c>
      <c r="H31" s="321">
        <f t="shared" si="1"/>
        <v>0.85229544617150554</v>
      </c>
      <c r="I31" s="33">
        <v>21880847.620000001</v>
      </c>
      <c r="J31" s="196">
        <f t="shared" si="2"/>
        <v>0.66699708975233363</v>
      </c>
      <c r="K31" s="460">
        <v>20121882.890000001</v>
      </c>
      <c r="L31" s="196">
        <v>0.69675524205785544</v>
      </c>
      <c r="M31" s="159">
        <f t="shared" si="3"/>
        <v>8.7415513727800986E-2</v>
      </c>
    </row>
    <row r="32" spans="1:15" ht="14.1" customHeight="1" x14ac:dyDescent="0.2">
      <c r="A32" s="293">
        <v>234</v>
      </c>
      <c r="B32" s="41" t="s">
        <v>434</v>
      </c>
      <c r="C32" s="226">
        <v>8908528.6099999994</v>
      </c>
      <c r="D32" s="233">
        <v>9877238.1099999994</v>
      </c>
      <c r="E32" s="33">
        <v>9784762.2899999991</v>
      </c>
      <c r="F32" s="321">
        <f t="shared" si="0"/>
        <v>0.99063748195901291</v>
      </c>
      <c r="G32" s="33">
        <v>9703586.9700000007</v>
      </c>
      <c r="H32" s="321">
        <f t="shared" si="1"/>
        <v>0.98241905904605165</v>
      </c>
      <c r="I32" s="33">
        <v>9691911.6300000008</v>
      </c>
      <c r="J32" s="196">
        <f t="shared" si="2"/>
        <v>0.9812370140381278</v>
      </c>
      <c r="K32" s="460">
        <v>8150320.25</v>
      </c>
      <c r="L32" s="458">
        <v>0.9303749771694666</v>
      </c>
      <c r="M32" s="159">
        <f t="shared" si="3"/>
        <v>0.18914488421482578</v>
      </c>
    </row>
    <row r="33" spans="1:15" ht="14.1" customHeight="1" x14ac:dyDescent="0.2">
      <c r="A33" s="293">
        <v>239</v>
      </c>
      <c r="B33" s="41" t="s">
        <v>475</v>
      </c>
      <c r="C33" s="226">
        <v>2850236.89</v>
      </c>
      <c r="D33" s="233">
        <v>0</v>
      </c>
      <c r="E33" s="33">
        <v>0</v>
      </c>
      <c r="F33" s="321" t="s">
        <v>129</v>
      </c>
      <c r="G33" s="33">
        <v>0</v>
      </c>
      <c r="H33" s="321" t="s">
        <v>129</v>
      </c>
      <c r="I33" s="33">
        <v>0</v>
      </c>
      <c r="J33" s="196" t="s">
        <v>129</v>
      </c>
      <c r="K33" s="463">
        <v>0</v>
      </c>
      <c r="L33" s="458">
        <v>0</v>
      </c>
      <c r="M33" s="159" t="s">
        <v>129</v>
      </c>
    </row>
    <row r="34" spans="1:15" ht="14.1" customHeight="1" x14ac:dyDescent="0.2">
      <c r="A34" s="18">
        <v>2</v>
      </c>
      <c r="B34" s="2" t="s">
        <v>125</v>
      </c>
      <c r="C34" s="228">
        <f>SUBTOTAL(9,C28:C33)</f>
        <v>244413830.41999996</v>
      </c>
      <c r="D34" s="235">
        <f>SUBTOTAL(9,D28:D33)</f>
        <v>264100818.63999999</v>
      </c>
      <c r="E34" s="230">
        <f>SUBTOTAL(9,E28:E33)</f>
        <v>244490953.09999999</v>
      </c>
      <c r="F34" s="303">
        <f t="shared" si="0"/>
        <v>0.92574856207950451</v>
      </c>
      <c r="G34" s="230">
        <f>SUBTOTAL(9,G28:G33)</f>
        <v>240696983.24000001</v>
      </c>
      <c r="H34" s="263">
        <f>G34/D34</f>
        <v>0.9113829501910703</v>
      </c>
      <c r="I34" s="230">
        <f>SUBTOTAL(9,I28:I33)</f>
        <v>213443262.82999998</v>
      </c>
      <c r="J34" s="318">
        <f>I34/D34</f>
        <v>0.80818856953619622</v>
      </c>
      <c r="K34" s="92">
        <f>SUBTOTAL(9,K28:K33)</f>
        <v>203990131.31</v>
      </c>
      <c r="L34" s="44">
        <v>0.86</v>
      </c>
      <c r="M34" s="161">
        <f>+I34/K34-1</f>
        <v>4.6341121794927664E-2</v>
      </c>
    </row>
    <row r="35" spans="1:15" ht="14.1" customHeight="1" x14ac:dyDescent="0.2">
      <c r="A35" s="38">
        <v>311</v>
      </c>
      <c r="B35" s="39" t="s">
        <v>484</v>
      </c>
      <c r="C35" s="227">
        <v>16774924.1</v>
      </c>
      <c r="D35" s="234">
        <v>18079197.399999999</v>
      </c>
      <c r="E35" s="35">
        <v>17084119.510000002</v>
      </c>
      <c r="F35" s="49">
        <f t="shared" si="0"/>
        <v>0.94496006277358324</v>
      </c>
      <c r="G35" s="35">
        <v>17017918.75</v>
      </c>
      <c r="H35" s="49">
        <f t="shared" si="1"/>
        <v>0.94129835376431048</v>
      </c>
      <c r="I35" s="35">
        <v>16717936.93</v>
      </c>
      <c r="J35" s="170">
        <f t="shared" si="2"/>
        <v>0.92470570236707528</v>
      </c>
      <c r="K35" s="460">
        <v>16749058.130000001</v>
      </c>
      <c r="L35" s="170">
        <v>0.96828043790034546</v>
      </c>
      <c r="M35" s="158">
        <f t="shared" si="3"/>
        <v>-1.8580865717015005E-3</v>
      </c>
      <c r="N35" t="s">
        <v>531</v>
      </c>
    </row>
    <row r="36" spans="1:15" ht="14.1" customHeight="1" x14ac:dyDescent="0.2">
      <c r="A36" s="38" t="s">
        <v>73</v>
      </c>
      <c r="B36" s="39" t="s">
        <v>132</v>
      </c>
      <c r="C36" s="227">
        <v>2248848</v>
      </c>
      <c r="D36" s="234">
        <v>2248848</v>
      </c>
      <c r="E36" s="35">
        <v>2248848</v>
      </c>
      <c r="F36" s="49">
        <f t="shared" si="0"/>
        <v>1</v>
      </c>
      <c r="G36" s="35">
        <v>2248848</v>
      </c>
      <c r="H36" s="49">
        <f t="shared" si="1"/>
        <v>1</v>
      </c>
      <c r="I36" s="35">
        <v>2248848</v>
      </c>
      <c r="J36" s="170">
        <f t="shared" si="2"/>
        <v>1</v>
      </c>
      <c r="K36" s="459">
        <v>2231000</v>
      </c>
      <c r="L36" s="170">
        <v>1</v>
      </c>
      <c r="M36" s="158">
        <f t="shared" si="3"/>
        <v>8.0000000000000071E-3</v>
      </c>
    </row>
    <row r="37" spans="1:15" ht="14.1" customHeight="1" x14ac:dyDescent="0.2">
      <c r="A37" s="40" t="s">
        <v>74</v>
      </c>
      <c r="B37" s="41" t="s">
        <v>521</v>
      </c>
      <c r="C37" s="227">
        <v>20329827.850000001</v>
      </c>
      <c r="D37" s="234">
        <v>34326264.659999996</v>
      </c>
      <c r="E37" s="35">
        <v>32067264.609999999</v>
      </c>
      <c r="F37" s="321">
        <f t="shared" si="0"/>
        <v>0.93419033290177989</v>
      </c>
      <c r="G37" s="35">
        <v>32067264.609999999</v>
      </c>
      <c r="H37" s="321">
        <f t="shared" si="1"/>
        <v>0.93419033290177989</v>
      </c>
      <c r="I37" s="35">
        <v>21751764.41</v>
      </c>
      <c r="J37" s="196">
        <f t="shared" si="2"/>
        <v>0.63367699997218407</v>
      </c>
      <c r="K37" s="460">
        <v>59664132.659999996</v>
      </c>
      <c r="L37" s="196">
        <v>0.78162299395147217</v>
      </c>
      <c r="M37" s="159">
        <f t="shared" si="3"/>
        <v>-0.63542980614578171</v>
      </c>
    </row>
    <row r="38" spans="1:15" ht="14.1" customHeight="1" x14ac:dyDescent="0.2">
      <c r="A38" s="293">
        <v>323</v>
      </c>
      <c r="B38" s="41" t="s">
        <v>492</v>
      </c>
      <c r="C38" s="227">
        <v>39307154.049999997</v>
      </c>
      <c r="D38" s="234">
        <v>39307154.049999997</v>
      </c>
      <c r="E38" s="35">
        <v>39307154.049999997</v>
      </c>
      <c r="F38" s="321">
        <f t="shared" si="0"/>
        <v>1</v>
      </c>
      <c r="G38" s="35">
        <v>39307154.049999997</v>
      </c>
      <c r="H38" s="321">
        <f t="shared" si="1"/>
        <v>1</v>
      </c>
      <c r="I38" s="35">
        <v>39307154.049999997</v>
      </c>
      <c r="J38" s="196">
        <f t="shared" si="2"/>
        <v>1</v>
      </c>
      <c r="K38" s="33">
        <v>9469237</v>
      </c>
      <c r="L38" s="523">
        <v>0.99</v>
      </c>
      <c r="M38" s="159">
        <f t="shared" si="3"/>
        <v>3.1510370951746163</v>
      </c>
      <c r="N38" t="s">
        <v>532</v>
      </c>
    </row>
    <row r="39" spans="1:15" ht="14.1" customHeight="1" x14ac:dyDescent="0.2">
      <c r="A39" s="40" t="s">
        <v>75</v>
      </c>
      <c r="B39" s="41" t="s">
        <v>486</v>
      </c>
      <c r="C39" s="227">
        <v>7463831</v>
      </c>
      <c r="D39" s="234">
        <v>7522078.5</v>
      </c>
      <c r="E39" s="35">
        <v>7522078.5</v>
      </c>
      <c r="F39" s="321">
        <f t="shared" si="0"/>
        <v>1</v>
      </c>
      <c r="G39" s="35">
        <v>7522078.5</v>
      </c>
      <c r="H39" s="321">
        <f t="shared" si="1"/>
        <v>1</v>
      </c>
      <c r="I39" s="35">
        <v>7522078.5</v>
      </c>
      <c r="J39" s="196">
        <f t="shared" si="2"/>
        <v>1</v>
      </c>
      <c r="K39" s="33"/>
      <c r="L39" s="196"/>
      <c r="M39" s="159" t="s">
        <v>129</v>
      </c>
      <c r="N39" t="s">
        <v>525</v>
      </c>
    </row>
    <row r="40" spans="1:15" ht="14.1" customHeight="1" x14ac:dyDescent="0.2">
      <c r="A40" s="40" t="s">
        <v>485</v>
      </c>
      <c r="B40" s="41" t="s">
        <v>114</v>
      </c>
      <c r="C40" s="227">
        <v>14209859.460000001</v>
      </c>
      <c r="D40" s="234">
        <v>22782120.690000001</v>
      </c>
      <c r="E40" s="35">
        <v>22325232.09</v>
      </c>
      <c r="F40" s="321">
        <f t="shared" si="0"/>
        <v>0.97994529981572132</v>
      </c>
      <c r="G40" s="35">
        <v>22286746.960000001</v>
      </c>
      <c r="H40" s="321">
        <f t="shared" si="1"/>
        <v>0.97825603082607493</v>
      </c>
      <c r="I40" s="35">
        <v>22203423.66</v>
      </c>
      <c r="J40" s="196">
        <f t="shared" si="2"/>
        <v>0.97459863206439712</v>
      </c>
      <c r="K40" s="33">
        <v>5390139.21</v>
      </c>
      <c r="L40" s="196">
        <v>0.97490967622783586</v>
      </c>
      <c r="M40" s="159">
        <f t="shared" si="3"/>
        <v>3.1192672016350391</v>
      </c>
      <c r="N40" t="s">
        <v>533</v>
      </c>
    </row>
    <row r="41" spans="1:15" ht="14.1" customHeight="1" x14ac:dyDescent="0.2">
      <c r="A41" s="40">
        <v>328</v>
      </c>
      <c r="B41" s="41" t="s">
        <v>435</v>
      </c>
      <c r="C41" s="227">
        <v>9039781.6799999997</v>
      </c>
      <c r="D41" s="234">
        <v>9039781.6799999997</v>
      </c>
      <c r="E41" s="35">
        <v>9039781.6799999997</v>
      </c>
      <c r="F41" s="321">
        <f t="shared" si="0"/>
        <v>1</v>
      </c>
      <c r="G41" s="35">
        <v>9039781.6799999997</v>
      </c>
      <c r="H41" s="321">
        <f t="shared" si="1"/>
        <v>1</v>
      </c>
      <c r="I41" s="35">
        <v>9039781.6799999997</v>
      </c>
      <c r="J41" s="196">
        <f t="shared" si="2"/>
        <v>1</v>
      </c>
      <c r="K41" s="33">
        <v>9056865.1799999997</v>
      </c>
      <c r="L41" s="196">
        <v>0.88647438591472416</v>
      </c>
      <c r="M41" s="159" t="s">
        <v>129</v>
      </c>
      <c r="N41" t="s">
        <v>534</v>
      </c>
    </row>
    <row r="42" spans="1:15" ht="14.1" customHeight="1" x14ac:dyDescent="0.2">
      <c r="A42" s="40">
        <v>329</v>
      </c>
      <c r="B42" s="41" t="s">
        <v>508</v>
      </c>
      <c r="C42" s="227">
        <v>28919222.559999999</v>
      </c>
      <c r="D42" s="234">
        <v>28919222.559999999</v>
      </c>
      <c r="E42" s="35">
        <v>28919222.559999999</v>
      </c>
      <c r="F42" s="321">
        <f t="shared" si="0"/>
        <v>1</v>
      </c>
      <c r="G42" s="35">
        <v>28919222.559999999</v>
      </c>
      <c r="H42" s="321">
        <f t="shared" si="1"/>
        <v>1</v>
      </c>
      <c r="I42" s="35">
        <v>28501558.120000001</v>
      </c>
      <c r="J42" s="196">
        <f t="shared" si="2"/>
        <v>0.98555754951110974</v>
      </c>
      <c r="K42" s="33">
        <v>26955236.109999999</v>
      </c>
      <c r="L42" s="523">
        <v>0.92085829488960702</v>
      </c>
      <c r="M42" s="159">
        <f t="shared" si="3"/>
        <v>5.7366294388582206E-2</v>
      </c>
      <c r="N42" t="s">
        <v>535</v>
      </c>
    </row>
    <row r="43" spans="1:15" ht="14.1" customHeight="1" x14ac:dyDescent="0.2">
      <c r="A43" s="293" t="s">
        <v>436</v>
      </c>
      <c r="B43" s="41" t="s">
        <v>548</v>
      </c>
      <c r="C43" s="227">
        <v>23154846.73</v>
      </c>
      <c r="D43" s="234">
        <v>20260989.18</v>
      </c>
      <c r="E43" s="35">
        <v>19731190.309999999</v>
      </c>
      <c r="F43" s="321">
        <f t="shared" si="0"/>
        <v>0.97385128310897207</v>
      </c>
      <c r="G43" s="35">
        <v>19731190.309999999</v>
      </c>
      <c r="H43" s="321">
        <f t="shared" si="1"/>
        <v>0.97385128310897207</v>
      </c>
      <c r="I43" s="35">
        <v>18806393.859999999</v>
      </c>
      <c r="J43" s="196">
        <f t="shared" si="2"/>
        <v>0.9282070926015864</v>
      </c>
      <c r="K43" s="33">
        <v>15380709.1</v>
      </c>
      <c r="L43" s="196">
        <v>0.67462888404442689</v>
      </c>
      <c r="M43" s="159">
        <f t="shared" si="3"/>
        <v>0.22272606144017115</v>
      </c>
    </row>
    <row r="44" spans="1:15" ht="14.1" customHeight="1" x14ac:dyDescent="0.2">
      <c r="A44" s="40" t="s">
        <v>76</v>
      </c>
      <c r="B44" s="41" t="s">
        <v>110</v>
      </c>
      <c r="C44" s="227">
        <v>12497819.630000001</v>
      </c>
      <c r="D44" s="234">
        <v>12758005.310000001</v>
      </c>
      <c r="E44" s="35">
        <v>12744326.130000001</v>
      </c>
      <c r="F44" s="321">
        <f t="shared" si="0"/>
        <v>0.9989277963390345</v>
      </c>
      <c r="G44" s="35">
        <v>12708451.32</v>
      </c>
      <c r="H44" s="321">
        <f t="shared" si="1"/>
        <v>0.99611585127957591</v>
      </c>
      <c r="I44" s="35">
        <v>12676716.039999999</v>
      </c>
      <c r="J44" s="196">
        <f t="shared" si="2"/>
        <v>0.99362837151852534</v>
      </c>
      <c r="K44" s="33">
        <v>12405864.08</v>
      </c>
      <c r="L44" s="196">
        <v>0.9963196635800734</v>
      </c>
      <c r="M44" s="159">
        <f t="shared" si="3"/>
        <v>2.1832575163921897E-2</v>
      </c>
    </row>
    <row r="45" spans="1:15" ht="14.1" customHeight="1" x14ac:dyDescent="0.2">
      <c r="A45" s="40" t="s">
        <v>77</v>
      </c>
      <c r="B45" s="41" t="s">
        <v>493</v>
      </c>
      <c r="C45" s="227">
        <v>64496879.130000003</v>
      </c>
      <c r="D45" s="234">
        <v>64679921.130000003</v>
      </c>
      <c r="E45" s="35">
        <v>64679921.130000003</v>
      </c>
      <c r="F45" s="321">
        <f t="shared" si="0"/>
        <v>1</v>
      </c>
      <c r="G45" s="35">
        <v>64679921.130000003</v>
      </c>
      <c r="H45" s="321">
        <f t="shared" si="1"/>
        <v>1</v>
      </c>
      <c r="I45" s="35">
        <v>64624921.130000003</v>
      </c>
      <c r="J45" s="196">
        <f t="shared" si="2"/>
        <v>0.99914965882704998</v>
      </c>
      <c r="K45" s="33">
        <v>63700194</v>
      </c>
      <c r="L45" s="196">
        <v>1</v>
      </c>
      <c r="M45" s="159">
        <f t="shared" si="3"/>
        <v>1.4516865207663265E-2</v>
      </c>
      <c r="N45" t="s">
        <v>536</v>
      </c>
      <c r="O45" s="316"/>
    </row>
    <row r="46" spans="1:15" ht="14.1" customHeight="1" x14ac:dyDescent="0.2">
      <c r="A46" s="40" t="s">
        <v>78</v>
      </c>
      <c r="B46" s="41" t="s">
        <v>102</v>
      </c>
      <c r="C46" s="227">
        <v>16590471.789999999</v>
      </c>
      <c r="D46" s="234">
        <v>16384283.91</v>
      </c>
      <c r="E46" s="35">
        <v>16245832.630000001</v>
      </c>
      <c r="F46" s="321">
        <f t="shared" si="0"/>
        <v>0.99154975092225439</v>
      </c>
      <c r="G46" s="35">
        <v>16044353.869999999</v>
      </c>
      <c r="H46" s="321">
        <f t="shared" si="1"/>
        <v>0.97925267641434555</v>
      </c>
      <c r="I46" s="35">
        <v>15938146.029999999</v>
      </c>
      <c r="J46" s="196">
        <f t="shared" si="2"/>
        <v>0.97277037663344534</v>
      </c>
      <c r="K46" s="33">
        <v>25668738.73</v>
      </c>
      <c r="L46" s="523">
        <v>0.93387574019505726</v>
      </c>
      <c r="M46" s="159">
        <f t="shared" si="3"/>
        <v>-0.37908339799444446</v>
      </c>
      <c r="O46" s="316"/>
    </row>
    <row r="47" spans="1:15" ht="14.1" customHeight="1" x14ac:dyDescent="0.2">
      <c r="A47" s="293">
        <v>336</v>
      </c>
      <c r="B47" s="41" t="s">
        <v>494</v>
      </c>
      <c r="C47" s="227">
        <v>211322.62</v>
      </c>
      <c r="D47" s="234">
        <v>211322.62</v>
      </c>
      <c r="E47" s="35">
        <v>211322.62</v>
      </c>
      <c r="F47" s="321">
        <f t="shared" si="0"/>
        <v>1</v>
      </c>
      <c r="G47" s="35">
        <v>211322.62</v>
      </c>
      <c r="H47" s="321">
        <f t="shared" si="1"/>
        <v>1</v>
      </c>
      <c r="I47" s="35">
        <v>211322.62</v>
      </c>
      <c r="J47" s="196">
        <f t="shared" si="2"/>
        <v>1</v>
      </c>
      <c r="K47" s="33">
        <v>211322.62</v>
      </c>
      <c r="L47" s="196">
        <v>1</v>
      </c>
      <c r="M47" s="159">
        <f t="shared" si="3"/>
        <v>0</v>
      </c>
    </row>
    <row r="48" spans="1:15" ht="14.1" customHeight="1" x14ac:dyDescent="0.2">
      <c r="A48" s="293">
        <v>337</v>
      </c>
      <c r="B48" s="41" t="s">
        <v>495</v>
      </c>
      <c r="C48" s="227">
        <v>13215052.93</v>
      </c>
      <c r="D48" s="234">
        <v>12275167.380000001</v>
      </c>
      <c r="E48" s="35">
        <v>11589912.560000001</v>
      </c>
      <c r="F48" s="321">
        <f t="shared" si="0"/>
        <v>0.94417552129541715</v>
      </c>
      <c r="G48" s="35">
        <v>11472193.060000001</v>
      </c>
      <c r="H48" s="321">
        <f t="shared" si="1"/>
        <v>0.93458546876449999</v>
      </c>
      <c r="I48" s="35">
        <v>9862522.8499999996</v>
      </c>
      <c r="J48" s="196">
        <f t="shared" si="2"/>
        <v>0.80345322753554171</v>
      </c>
      <c r="K48" s="33"/>
      <c r="L48" s="196"/>
      <c r="M48" s="159" t="s">
        <v>129</v>
      </c>
    </row>
    <row r="49" spans="1:18" ht="14.1" customHeight="1" x14ac:dyDescent="0.2">
      <c r="A49" s="293">
        <v>338</v>
      </c>
      <c r="B49" s="41" t="s">
        <v>496</v>
      </c>
      <c r="C49" s="227">
        <v>6508517.5999999996</v>
      </c>
      <c r="D49" s="234">
        <v>6859968.8499999996</v>
      </c>
      <c r="E49" s="35">
        <v>6737135.25</v>
      </c>
      <c r="F49" s="321">
        <f t="shared" si="0"/>
        <v>0.98209414609805412</v>
      </c>
      <c r="G49" s="35">
        <v>6461531.2199999997</v>
      </c>
      <c r="H49" s="321">
        <f t="shared" si="1"/>
        <v>0.94191844909033373</v>
      </c>
      <c r="I49" s="35">
        <v>6069891.6299999999</v>
      </c>
      <c r="J49" s="196">
        <f t="shared" si="2"/>
        <v>0.88482787061052037</v>
      </c>
      <c r="K49" s="33">
        <v>6342098.9199999999</v>
      </c>
      <c r="L49" s="196">
        <v>0.88233317864223293</v>
      </c>
      <c r="M49" s="159">
        <f t="shared" si="3"/>
        <v>-4.2920694463087994E-2</v>
      </c>
    </row>
    <row r="50" spans="1:18" ht="14.1" customHeight="1" x14ac:dyDescent="0.2">
      <c r="A50" s="293" t="s">
        <v>79</v>
      </c>
      <c r="B50" s="41" t="s">
        <v>115</v>
      </c>
      <c r="C50" s="227">
        <v>13397166.07</v>
      </c>
      <c r="D50" s="234">
        <v>18121133.539999999</v>
      </c>
      <c r="E50" s="35">
        <v>18039037.039999999</v>
      </c>
      <c r="F50" s="456">
        <f t="shared" si="0"/>
        <v>0.99546957149127657</v>
      </c>
      <c r="G50" s="35">
        <v>18017464.129999999</v>
      </c>
      <c r="H50" s="456">
        <f t="shared" si="1"/>
        <v>0.99427908801780174</v>
      </c>
      <c r="I50" s="35">
        <v>12938219.98</v>
      </c>
      <c r="J50" s="458">
        <f t="shared" si="2"/>
        <v>0.7139851351705232</v>
      </c>
      <c r="K50" s="33">
        <v>11334049.98</v>
      </c>
      <c r="L50" s="458">
        <v>0.70367026533750243</v>
      </c>
      <c r="M50" s="159">
        <f t="shared" si="3"/>
        <v>0.14153546197790812</v>
      </c>
    </row>
    <row r="51" spans="1:18" ht="14.1" customHeight="1" x14ac:dyDescent="0.2">
      <c r="A51" s="293">
        <v>342</v>
      </c>
      <c r="B51" s="41" t="s">
        <v>497</v>
      </c>
      <c r="C51" s="227">
        <v>5026210.57</v>
      </c>
      <c r="D51" s="234">
        <v>4691311.7300000004</v>
      </c>
      <c r="E51" s="35">
        <v>4668710.57</v>
      </c>
      <c r="F51" s="456">
        <f t="shared" si="0"/>
        <v>0.99518233677470835</v>
      </c>
      <c r="G51" s="35">
        <v>4667210.57</v>
      </c>
      <c r="H51" s="456">
        <f t="shared" si="1"/>
        <v>0.99486259677738365</v>
      </c>
      <c r="I51" s="35">
        <v>4628695.3600000003</v>
      </c>
      <c r="J51" s="458">
        <f t="shared" si="2"/>
        <v>0.98665269468247419</v>
      </c>
      <c r="K51" s="33">
        <v>4356829.84</v>
      </c>
      <c r="L51" s="458">
        <v>0.96073264624043264</v>
      </c>
      <c r="M51" s="159">
        <f t="shared" si="3"/>
        <v>6.2399848050985751E-2</v>
      </c>
    </row>
    <row r="52" spans="1:18" ht="14.1" customHeight="1" x14ac:dyDescent="0.2">
      <c r="A52" s="293">
        <v>343</v>
      </c>
      <c r="B52" s="41" t="s">
        <v>438</v>
      </c>
      <c r="C52" s="227">
        <v>7608676.7199999997</v>
      </c>
      <c r="D52" s="234">
        <v>7683967.7199999997</v>
      </c>
      <c r="E52" s="35">
        <v>7683967.7199999997</v>
      </c>
      <c r="F52" s="456">
        <f t="shared" si="0"/>
        <v>1</v>
      </c>
      <c r="G52" s="35">
        <v>7683967.7199999997</v>
      </c>
      <c r="H52" s="456">
        <f t="shared" si="1"/>
        <v>1</v>
      </c>
      <c r="I52" s="35">
        <v>7683967.7199999997</v>
      </c>
      <c r="J52" s="458">
        <f t="shared" si="2"/>
        <v>1</v>
      </c>
      <c r="K52" s="33">
        <v>8663183.2300000004</v>
      </c>
      <c r="L52" s="458">
        <v>1</v>
      </c>
      <c r="M52" s="159">
        <f t="shared" si="3"/>
        <v>-0.11303183645118409</v>
      </c>
    </row>
    <row r="53" spans="1:18" ht="14.1" customHeight="1" x14ac:dyDescent="0.2">
      <c r="A53" s="18">
        <v>3</v>
      </c>
      <c r="B53" s="2" t="s">
        <v>124</v>
      </c>
      <c r="C53" s="228">
        <f>SUBTOTAL(9,C35:C52)</f>
        <v>301000412.49000001</v>
      </c>
      <c r="D53" s="235">
        <f>SUBTOTAL(9,D35:D52)</f>
        <v>326150738.91000009</v>
      </c>
      <c r="E53" s="230">
        <f>SUBTOTAL(9,E35:E52)</f>
        <v>320845056.96000004</v>
      </c>
      <c r="F53" s="98">
        <f t="shared" si="0"/>
        <v>0.98373242394687899</v>
      </c>
      <c r="G53" s="230">
        <f>SUBTOTAL(9,G35:G52)</f>
        <v>320086621.06000006</v>
      </c>
      <c r="H53" s="98">
        <f t="shared" si="1"/>
        <v>0.98140700870319542</v>
      </c>
      <c r="I53" s="230">
        <f>SUBTOTAL(9,I35:I52)</f>
        <v>300733342.57000005</v>
      </c>
      <c r="J53" s="188">
        <f t="shared" si="2"/>
        <v>0.92206856122740888</v>
      </c>
      <c r="K53" s="92">
        <f>SUBTOTAL(9,K35:K52)</f>
        <v>277578658.78999996</v>
      </c>
      <c r="L53" s="44">
        <v>0.88500000000000001</v>
      </c>
      <c r="M53" s="161">
        <f t="shared" si="3"/>
        <v>8.3416657033124508E-2</v>
      </c>
    </row>
    <row r="54" spans="1:18" ht="14.1" customHeight="1" x14ac:dyDescent="0.2">
      <c r="A54" s="38">
        <v>430</v>
      </c>
      <c r="B54" s="39" t="s">
        <v>546</v>
      </c>
      <c r="C54" s="227">
        <v>3157718.66</v>
      </c>
      <c r="D54" s="234">
        <v>4694050.92</v>
      </c>
      <c r="E54" s="35">
        <v>3197238.6</v>
      </c>
      <c r="F54" s="456">
        <f t="shared" si="0"/>
        <v>0.68112567470827523</v>
      </c>
      <c r="G54" s="35">
        <v>3175391.42</v>
      </c>
      <c r="H54" s="456">
        <f t="shared" si="1"/>
        <v>0.67647144739537679</v>
      </c>
      <c r="I54" s="35">
        <v>2951989.46</v>
      </c>
      <c r="J54" s="196">
        <f t="shared" si="2"/>
        <v>0.62887887462456415</v>
      </c>
      <c r="K54" s="459">
        <v>2337021.2400000002</v>
      </c>
      <c r="L54" s="196">
        <v>0.72249785214964923</v>
      </c>
      <c r="M54" s="158">
        <f t="shared" si="3"/>
        <v>0.26314190452115871</v>
      </c>
    </row>
    <row r="55" spans="1:18" ht="14.1" customHeight="1" x14ac:dyDescent="0.2">
      <c r="A55" s="38" t="s">
        <v>80</v>
      </c>
      <c r="B55" s="39" t="s">
        <v>103</v>
      </c>
      <c r="C55" s="227">
        <v>25783615.18</v>
      </c>
      <c r="D55" s="234">
        <v>27340788.420000002</v>
      </c>
      <c r="E55" s="35">
        <v>26612973.850000001</v>
      </c>
      <c r="F55" s="49">
        <f t="shared" si="0"/>
        <v>0.97337989823776994</v>
      </c>
      <c r="G55" s="35">
        <v>24919053.5</v>
      </c>
      <c r="H55" s="49">
        <f t="shared" si="1"/>
        <v>0.91142410076848834</v>
      </c>
      <c r="I55" s="35">
        <v>20534043.550000001</v>
      </c>
      <c r="J55" s="170">
        <f t="shared" si="2"/>
        <v>0.75104065159215327</v>
      </c>
      <c r="K55" s="459">
        <v>15726352.779999999</v>
      </c>
      <c r="L55" s="170">
        <v>0.49533570537727789</v>
      </c>
      <c r="M55" s="158">
        <f t="shared" si="3"/>
        <v>0.30570920271572355</v>
      </c>
    </row>
    <row r="56" spans="1:18" ht="14.1" customHeight="1" x14ac:dyDescent="0.2">
      <c r="A56" s="40" t="s">
        <v>81</v>
      </c>
      <c r="B56" s="41" t="s">
        <v>498</v>
      </c>
      <c r="C56" s="227">
        <v>4243112</v>
      </c>
      <c r="D56" s="234">
        <v>9026337.7599999998</v>
      </c>
      <c r="E56" s="35">
        <v>8336351.2300000004</v>
      </c>
      <c r="F56" s="321">
        <f t="shared" si="0"/>
        <v>0.92355852967771068</v>
      </c>
      <c r="G56" s="35">
        <v>8261728.9100000001</v>
      </c>
      <c r="H56" s="321">
        <f t="shared" si="1"/>
        <v>0.91529135399870087</v>
      </c>
      <c r="I56" s="35">
        <v>7889310.7400000002</v>
      </c>
      <c r="J56" s="196">
        <f t="shared" si="2"/>
        <v>0.8740322985653487</v>
      </c>
      <c r="K56" s="460">
        <v>6620054.0599999996</v>
      </c>
      <c r="L56" s="196">
        <v>0.81060276161779254</v>
      </c>
      <c r="M56" s="159">
        <f t="shared" si="3"/>
        <v>0.19172905062349299</v>
      </c>
    </row>
    <row r="57" spans="1:18" ht="14.1" customHeight="1" x14ac:dyDescent="0.2">
      <c r="A57" s="40" t="s">
        <v>82</v>
      </c>
      <c r="B57" s="41" t="s">
        <v>104</v>
      </c>
      <c r="C57" s="227">
        <v>67192674.75</v>
      </c>
      <c r="D57" s="234">
        <v>74082339.540000007</v>
      </c>
      <c r="E57" s="35">
        <v>66833825.390000001</v>
      </c>
      <c r="F57" s="321">
        <f t="shared" si="0"/>
        <v>0.90215597678193948</v>
      </c>
      <c r="G57" s="35">
        <v>66677360.719999999</v>
      </c>
      <c r="H57" s="321">
        <f t="shared" si="1"/>
        <v>0.90004393940607441</v>
      </c>
      <c r="I57" s="35">
        <v>62870559.899999999</v>
      </c>
      <c r="J57" s="196">
        <f t="shared" si="2"/>
        <v>0.84865786218932349</v>
      </c>
      <c r="K57" s="460">
        <v>44384127.939999998</v>
      </c>
      <c r="L57" s="196">
        <v>0.83255514765183325</v>
      </c>
      <c r="M57" s="159">
        <f t="shared" si="3"/>
        <v>0.41650997367776599</v>
      </c>
      <c r="O57" s="320"/>
      <c r="P57" s="320"/>
    </row>
    <row r="58" spans="1:18" ht="14.1" customHeight="1" x14ac:dyDescent="0.2">
      <c r="A58" s="40" t="s">
        <v>83</v>
      </c>
      <c r="B58" s="41" t="s">
        <v>499</v>
      </c>
      <c r="C58" s="227">
        <v>133403395</v>
      </c>
      <c r="D58" s="234">
        <v>133547613.42</v>
      </c>
      <c r="E58" s="35">
        <v>133547613.42</v>
      </c>
      <c r="F58" s="321">
        <f t="shared" si="0"/>
        <v>1</v>
      </c>
      <c r="G58" s="35">
        <v>133547613.42</v>
      </c>
      <c r="H58" s="321">
        <f t="shared" si="1"/>
        <v>1</v>
      </c>
      <c r="I58" s="35">
        <v>130245669.75</v>
      </c>
      <c r="J58" s="196">
        <f t="shared" si="2"/>
        <v>0.97527515778499485</v>
      </c>
      <c r="K58" s="460">
        <v>104330513.31999999</v>
      </c>
      <c r="L58" s="196">
        <v>0.97344738513846218</v>
      </c>
      <c r="M58" s="159">
        <f t="shared" si="3"/>
        <v>0.24839479463226333</v>
      </c>
      <c r="O58" s="320"/>
      <c r="P58" s="320"/>
    </row>
    <row r="59" spans="1:18" ht="14.1" customHeight="1" x14ac:dyDescent="0.2">
      <c r="A59" s="40">
        <v>491</v>
      </c>
      <c r="B59" s="41" t="s">
        <v>511</v>
      </c>
      <c r="C59" s="227">
        <v>17459000</v>
      </c>
      <c r="D59" s="234">
        <v>17459000</v>
      </c>
      <c r="E59" s="35">
        <v>17459000</v>
      </c>
      <c r="F59" s="321">
        <f t="shared" si="0"/>
        <v>1</v>
      </c>
      <c r="G59" s="35">
        <v>17459000</v>
      </c>
      <c r="H59" s="321">
        <f t="shared" si="1"/>
        <v>1</v>
      </c>
      <c r="I59" s="35">
        <v>17183927.859999999</v>
      </c>
      <c r="J59" s="196">
        <f t="shared" si="2"/>
        <v>0.98424467953491035</v>
      </c>
      <c r="K59" s="460">
        <v>16223020.33</v>
      </c>
      <c r="L59" s="196">
        <v>0.94319885639534884</v>
      </c>
      <c r="M59" s="159" t="s">
        <v>129</v>
      </c>
      <c r="O59" s="320"/>
      <c r="P59" s="320"/>
    </row>
    <row r="60" spans="1:18" ht="14.1" customHeight="1" x14ac:dyDescent="0.2">
      <c r="A60" s="40" t="s">
        <v>84</v>
      </c>
      <c r="B60" s="41" t="s">
        <v>500</v>
      </c>
      <c r="C60" s="227">
        <v>1138067.27</v>
      </c>
      <c r="D60" s="234">
        <v>1034752.66</v>
      </c>
      <c r="E60" s="35">
        <v>836336.11</v>
      </c>
      <c r="F60" s="321">
        <f t="shared" si="0"/>
        <v>0.80824736415753684</v>
      </c>
      <c r="G60" s="35">
        <v>770953.65</v>
      </c>
      <c r="H60" s="321">
        <f t="shared" si="1"/>
        <v>0.74506080515898354</v>
      </c>
      <c r="I60" s="35">
        <v>751489.12</v>
      </c>
      <c r="J60" s="196">
        <f t="shared" si="2"/>
        <v>0.72625000065232981</v>
      </c>
      <c r="K60" s="460">
        <v>859833.55</v>
      </c>
      <c r="L60" s="196">
        <v>0.67529430781939881</v>
      </c>
      <c r="M60" s="159">
        <f>+I60/K60-1</f>
        <v>-0.1260062834254374</v>
      </c>
    </row>
    <row r="61" spans="1:18" ht="14.1" customHeight="1" x14ac:dyDescent="0.2">
      <c r="A61" s="18">
        <v>4</v>
      </c>
      <c r="B61" s="2" t="s">
        <v>123</v>
      </c>
      <c r="C61" s="228">
        <f>SUBTOTAL(9,C54:C60)</f>
        <v>252377582.86000001</v>
      </c>
      <c r="D61" s="235">
        <f>SUBTOTAL(9,D54:D60)</f>
        <v>267184882.72</v>
      </c>
      <c r="E61" s="230">
        <f>SUBTOTAL(9,E54:E60)</f>
        <v>256823338.60000002</v>
      </c>
      <c r="F61" s="98">
        <f t="shared" si="0"/>
        <v>0.9612195719513873</v>
      </c>
      <c r="G61" s="230">
        <f>SUBTOTAL(9,G54:G60)</f>
        <v>254811101.62</v>
      </c>
      <c r="H61" s="98">
        <f t="shared" si="1"/>
        <v>0.95368831883738248</v>
      </c>
      <c r="I61" s="230">
        <f>SUBTOTAL(9,I54:I60)</f>
        <v>242426990.38</v>
      </c>
      <c r="J61" s="188">
        <f t="shared" si="2"/>
        <v>0.90733797478375533</v>
      </c>
      <c r="K61" s="92">
        <f>SUBTOTAL(9,K54:K60)</f>
        <v>190480923.22</v>
      </c>
      <c r="L61" s="44">
        <v>0.85799999999999998</v>
      </c>
      <c r="M61" s="161">
        <f t="shared" si="3"/>
        <v>0.27271007658863455</v>
      </c>
    </row>
    <row r="62" spans="1:18" ht="14.1" customHeight="1" x14ac:dyDescent="0.2">
      <c r="A62" s="38" t="s">
        <v>85</v>
      </c>
      <c r="B62" s="39" t="s">
        <v>113</v>
      </c>
      <c r="C62" s="227">
        <v>27475672.920000002</v>
      </c>
      <c r="D62" s="234">
        <v>28082675.489999998</v>
      </c>
      <c r="E62" s="35">
        <v>25196539.100000001</v>
      </c>
      <c r="F62" s="49">
        <f t="shared" si="0"/>
        <v>0.89722715732595615</v>
      </c>
      <c r="G62" s="35">
        <v>24441915.030000001</v>
      </c>
      <c r="H62" s="49">
        <f t="shared" si="1"/>
        <v>0.8703556411034824</v>
      </c>
      <c r="I62" s="35">
        <v>24236870.239999998</v>
      </c>
      <c r="J62" s="170">
        <f t="shared" si="2"/>
        <v>0.86305417190860401</v>
      </c>
      <c r="K62" s="459">
        <v>24485445.07</v>
      </c>
      <c r="L62" s="170">
        <v>0.88034523944872378</v>
      </c>
      <c r="M62" s="158">
        <f t="shared" si="3"/>
        <v>-1.0151942482130361E-2</v>
      </c>
    </row>
    <row r="63" spans="1:18" ht="14.1" customHeight="1" x14ac:dyDescent="0.2">
      <c r="A63" s="40" t="s">
        <v>86</v>
      </c>
      <c r="B63" s="41" t="s">
        <v>545</v>
      </c>
      <c r="C63" s="227">
        <v>55247619.460000001</v>
      </c>
      <c r="D63" s="234">
        <v>62723242.100000001</v>
      </c>
      <c r="E63" s="35">
        <v>54213077.240000002</v>
      </c>
      <c r="F63" s="321">
        <f t="shared" si="0"/>
        <v>0.86432198695290341</v>
      </c>
      <c r="G63" s="35">
        <v>52203286.799999997</v>
      </c>
      <c r="H63" s="321">
        <f t="shared" si="1"/>
        <v>0.83227979058818446</v>
      </c>
      <c r="I63" s="35">
        <v>48395618</v>
      </c>
      <c r="J63" s="196">
        <f t="shared" si="2"/>
        <v>0.7715739234723008</v>
      </c>
      <c r="K63" s="460">
        <v>47886725.520000003</v>
      </c>
      <c r="L63" s="196">
        <v>0.75883483556463216</v>
      </c>
      <c r="M63" s="159">
        <f t="shared" si="3"/>
        <v>1.0627005176778281E-2</v>
      </c>
    </row>
    <row r="64" spans="1:18" ht="14.1" customHeight="1" x14ac:dyDescent="0.2">
      <c r="A64" s="40" t="s">
        <v>87</v>
      </c>
      <c r="B64" s="41" t="s">
        <v>116</v>
      </c>
      <c r="C64" s="227">
        <v>6330784.5</v>
      </c>
      <c r="D64" s="234">
        <v>6792736.3799999999</v>
      </c>
      <c r="E64" s="35">
        <v>5766709.5599999996</v>
      </c>
      <c r="F64" s="321">
        <f t="shared" si="0"/>
        <v>0.8489523569586841</v>
      </c>
      <c r="G64" s="35">
        <v>5372969.1900000004</v>
      </c>
      <c r="H64" s="321">
        <f t="shared" si="1"/>
        <v>0.79098744444429636</v>
      </c>
      <c r="I64" s="35">
        <v>5282032.8899999997</v>
      </c>
      <c r="J64" s="196">
        <f t="shared" si="2"/>
        <v>0.77760015912762392</v>
      </c>
      <c r="K64" s="460">
        <v>4975537.99</v>
      </c>
      <c r="L64" s="196">
        <v>0.7601375372320941</v>
      </c>
      <c r="M64" s="159">
        <f t="shared" si="3"/>
        <v>6.1600353693611165E-2</v>
      </c>
      <c r="Q64" s="294"/>
      <c r="R64" s="294"/>
    </row>
    <row r="65" spans="1:18" ht="14.1" customHeight="1" x14ac:dyDescent="0.2">
      <c r="A65" s="40" t="s">
        <v>88</v>
      </c>
      <c r="B65" s="41" t="s">
        <v>111</v>
      </c>
      <c r="C65" s="227">
        <v>2703306.46</v>
      </c>
      <c r="D65" s="234">
        <v>2172824.84</v>
      </c>
      <c r="E65" s="35">
        <v>1741225.29</v>
      </c>
      <c r="F65" s="321">
        <f t="shared" si="0"/>
        <v>0.80136477545056051</v>
      </c>
      <c r="G65" s="35">
        <v>1686233.3</v>
      </c>
      <c r="H65" s="321">
        <f t="shared" si="1"/>
        <v>0.77605579104112232</v>
      </c>
      <c r="I65" s="35">
        <v>1486579.77</v>
      </c>
      <c r="J65" s="196">
        <f t="shared" si="2"/>
        <v>0.68416917122504917</v>
      </c>
      <c r="K65" s="460">
        <v>1321530.27</v>
      </c>
      <c r="L65" s="196">
        <v>0.74991476618037123</v>
      </c>
      <c r="M65" s="159">
        <f t="shared" si="3"/>
        <v>0.12489271244615541</v>
      </c>
      <c r="Q65" s="294"/>
      <c r="R65" s="294"/>
    </row>
    <row r="66" spans="1:18" ht="14.1" customHeight="1" x14ac:dyDescent="0.2">
      <c r="A66" s="40" t="s">
        <v>89</v>
      </c>
      <c r="B66" s="41" t="s">
        <v>105</v>
      </c>
      <c r="C66" s="227">
        <v>9126336.0500000007</v>
      </c>
      <c r="D66" s="234">
        <v>9245930.8599999994</v>
      </c>
      <c r="E66" s="35">
        <v>8983150.7100000009</v>
      </c>
      <c r="F66" s="321">
        <f t="shared" si="0"/>
        <v>0.97157883246381982</v>
      </c>
      <c r="G66" s="35">
        <v>8653138.6099999994</v>
      </c>
      <c r="H66" s="321">
        <f t="shared" si="1"/>
        <v>0.93588614721698227</v>
      </c>
      <c r="I66" s="35">
        <v>7995140.3399999999</v>
      </c>
      <c r="J66" s="196">
        <f t="shared" si="2"/>
        <v>0.86471989257336934</v>
      </c>
      <c r="K66" s="460">
        <v>8126781.2999999998</v>
      </c>
      <c r="L66" s="196">
        <v>0.89485214966013149</v>
      </c>
      <c r="M66" s="159">
        <f t="shared" si="3"/>
        <v>-1.6198413017463609E-2</v>
      </c>
      <c r="Q66" s="294"/>
      <c r="R66" s="294"/>
    </row>
    <row r="67" spans="1:18" ht="14.1" customHeight="1" x14ac:dyDescent="0.2">
      <c r="A67" s="40" t="s">
        <v>90</v>
      </c>
      <c r="B67" s="41" t="s">
        <v>120</v>
      </c>
      <c r="C67" s="227">
        <v>36104377.189999998</v>
      </c>
      <c r="D67" s="234">
        <v>37764853.350000001</v>
      </c>
      <c r="E67" s="35">
        <v>35167083.869999997</v>
      </c>
      <c r="F67" s="321">
        <f t="shared" si="0"/>
        <v>0.93121198019957352</v>
      </c>
      <c r="G67" s="35">
        <v>33882871.219999999</v>
      </c>
      <c r="H67" s="321">
        <f t="shared" si="1"/>
        <v>0.89720648206886255</v>
      </c>
      <c r="I67" s="35">
        <v>29940605.370000001</v>
      </c>
      <c r="J67" s="196">
        <f t="shared" si="2"/>
        <v>0.79281667248947496</v>
      </c>
      <c r="K67" s="460">
        <v>29348131.870000001</v>
      </c>
      <c r="L67" s="196">
        <v>0.76046492298918822</v>
      </c>
      <c r="M67" s="159">
        <f t="shared" si="3"/>
        <v>2.0187775583959233E-2</v>
      </c>
      <c r="Q67" s="294"/>
      <c r="R67" s="294"/>
    </row>
    <row r="68" spans="1:18" ht="14.1" customHeight="1" x14ac:dyDescent="0.2">
      <c r="A68" s="40" t="s">
        <v>91</v>
      </c>
      <c r="B68" s="41" t="s">
        <v>501</v>
      </c>
      <c r="C68" s="227">
        <v>59952489.780000001</v>
      </c>
      <c r="D68" s="234">
        <v>56383502.710000001</v>
      </c>
      <c r="E68" s="35">
        <v>55860163.170000002</v>
      </c>
      <c r="F68" s="321">
        <f t="shared" si="0"/>
        <v>0.99071821517205627</v>
      </c>
      <c r="G68" s="35">
        <v>55859134.18</v>
      </c>
      <c r="H68" s="321">
        <f t="shared" si="1"/>
        <v>0.99069996533033766</v>
      </c>
      <c r="I68" s="35">
        <v>46531813.329999998</v>
      </c>
      <c r="J68" s="196">
        <f t="shared" si="2"/>
        <v>0.82527354799735175</v>
      </c>
      <c r="K68" s="460">
        <v>42862911.520000003</v>
      </c>
      <c r="L68" s="196">
        <v>0.7599004726000157</v>
      </c>
      <c r="M68" s="159">
        <f t="shared" si="3"/>
        <v>8.559618747056108E-2</v>
      </c>
    </row>
    <row r="69" spans="1:18" ht="14.1" customHeight="1" x14ac:dyDescent="0.2">
      <c r="A69" s="40" t="s">
        <v>92</v>
      </c>
      <c r="B69" s="41" t="s">
        <v>118</v>
      </c>
      <c r="C69" s="227">
        <v>26939471.629999999</v>
      </c>
      <c r="D69" s="234">
        <v>7155444.5099999998</v>
      </c>
      <c r="E69" s="35">
        <v>1204247.73</v>
      </c>
      <c r="F69" s="321">
        <f t="shared" si="0"/>
        <v>0.16829810200009504</v>
      </c>
      <c r="G69" s="35">
        <v>1204247.73</v>
      </c>
      <c r="H69" s="321">
        <f t="shared" si="1"/>
        <v>0.16829810200009504</v>
      </c>
      <c r="I69" s="35">
        <v>1204247.73</v>
      </c>
      <c r="J69" s="196">
        <f t="shared" si="2"/>
        <v>0.16829810200009504</v>
      </c>
      <c r="K69" s="460">
        <v>1682487.48</v>
      </c>
      <c r="L69" s="196">
        <v>0.29220360150973873</v>
      </c>
      <c r="M69" s="159">
        <f t="shared" si="3"/>
        <v>-0.28424565156348147</v>
      </c>
    </row>
    <row r="70" spans="1:18" ht="14.1" customHeight="1" x14ac:dyDescent="0.2">
      <c r="A70" s="293">
        <v>931</v>
      </c>
      <c r="B70" s="41" t="s">
        <v>439</v>
      </c>
      <c r="C70" s="227">
        <v>5447022.2999999998</v>
      </c>
      <c r="D70" s="234">
        <v>5423138.6399999997</v>
      </c>
      <c r="E70" s="35">
        <v>4429272.5199999996</v>
      </c>
      <c r="F70" s="321">
        <f t="shared" si="0"/>
        <v>0.81673599257274376</v>
      </c>
      <c r="G70" s="35">
        <v>4311273.47</v>
      </c>
      <c r="H70" s="321">
        <f t="shared" si="1"/>
        <v>0.79497755012215587</v>
      </c>
      <c r="I70" s="35">
        <v>3958619.81</v>
      </c>
      <c r="J70" s="196">
        <f t="shared" si="2"/>
        <v>0.72994995569576671</v>
      </c>
      <c r="K70" s="460">
        <v>3992033.5</v>
      </c>
      <c r="L70" s="196">
        <v>0.83126293613456703</v>
      </c>
      <c r="M70" s="159">
        <f t="shared" si="3"/>
        <v>-8.3700925856459163E-3</v>
      </c>
    </row>
    <row r="71" spans="1:18" ht="14.1" customHeight="1" x14ac:dyDescent="0.2">
      <c r="A71" s="40" t="s">
        <v>93</v>
      </c>
      <c r="B71" s="41" t="s">
        <v>107</v>
      </c>
      <c r="C71" s="227">
        <v>26643946.690000001</v>
      </c>
      <c r="D71" s="234">
        <v>28488247.850000001</v>
      </c>
      <c r="E71" s="35">
        <v>27583154.850000001</v>
      </c>
      <c r="F71" s="321">
        <f t="shared" si="0"/>
        <v>0.96822925001335247</v>
      </c>
      <c r="G71" s="35">
        <v>27540933.960000001</v>
      </c>
      <c r="H71" s="321">
        <f t="shared" si="1"/>
        <v>0.96674720414579651</v>
      </c>
      <c r="I71" s="35">
        <v>27539938.489999998</v>
      </c>
      <c r="J71" s="196">
        <f t="shared" si="2"/>
        <v>0.96671226096483143</v>
      </c>
      <c r="K71" s="460">
        <v>25356064.030000001</v>
      </c>
      <c r="L71" s="196">
        <v>0.96204158122541272</v>
      </c>
      <c r="M71" s="159">
        <f t="shared" si="3"/>
        <v>8.6128290945161945E-2</v>
      </c>
    </row>
    <row r="72" spans="1:18" ht="14.1" customHeight="1" x14ac:dyDescent="0.2">
      <c r="A72" s="40" t="s">
        <v>94</v>
      </c>
      <c r="B72" s="41" t="s">
        <v>108</v>
      </c>
      <c r="C72" s="227">
        <v>85426699.129999995</v>
      </c>
      <c r="D72" s="234">
        <v>92278080.409999996</v>
      </c>
      <c r="E72" s="35">
        <v>86491173.560000002</v>
      </c>
      <c r="F72" s="321">
        <f t="shared" si="0"/>
        <v>0.93728839151954357</v>
      </c>
      <c r="G72" s="35">
        <v>85572517.310000002</v>
      </c>
      <c r="H72" s="321">
        <f t="shared" si="1"/>
        <v>0.92733308852756191</v>
      </c>
      <c r="I72" s="35">
        <v>67428808.450000003</v>
      </c>
      <c r="J72" s="196">
        <f t="shared" si="2"/>
        <v>0.73071316774696227</v>
      </c>
      <c r="K72" s="460">
        <v>88986179.120000005</v>
      </c>
      <c r="L72" s="196">
        <v>0.66773132297087845</v>
      </c>
      <c r="M72" s="159">
        <f t="shared" si="3"/>
        <v>-0.24225526798863195</v>
      </c>
    </row>
    <row r="73" spans="1:18" ht="14.1" customHeight="1" x14ac:dyDescent="0.2">
      <c r="A73" s="40" t="s">
        <v>95</v>
      </c>
      <c r="B73" s="41" t="s">
        <v>117</v>
      </c>
      <c r="C73" s="227">
        <v>732282.55</v>
      </c>
      <c r="D73" s="234">
        <v>915488.47</v>
      </c>
      <c r="E73" s="35">
        <v>731392.35</v>
      </c>
      <c r="F73" s="321">
        <f t="shared" si="0"/>
        <v>0.79890940625390949</v>
      </c>
      <c r="G73" s="35">
        <v>731392.35</v>
      </c>
      <c r="H73" s="321">
        <f t="shared" si="1"/>
        <v>0.79890940625390949</v>
      </c>
      <c r="I73" s="35">
        <v>731392.35</v>
      </c>
      <c r="J73" s="196">
        <f t="shared" si="2"/>
        <v>0.79890940625390949</v>
      </c>
      <c r="K73" s="460">
        <v>701117.69</v>
      </c>
      <c r="L73" s="196">
        <v>0.90708753483064841</v>
      </c>
      <c r="M73" s="159">
        <f t="shared" si="3"/>
        <v>4.3180567872991515E-2</v>
      </c>
    </row>
    <row r="74" spans="1:18" ht="14.1" customHeight="1" x14ac:dyDescent="0.2">
      <c r="A74" s="290">
        <v>943</v>
      </c>
      <c r="B74" s="43" t="s">
        <v>119</v>
      </c>
      <c r="C74" s="227">
        <v>89097229.569999993</v>
      </c>
      <c r="D74" s="234">
        <v>96018042.969999999</v>
      </c>
      <c r="E74" s="35">
        <v>89097229.569999993</v>
      </c>
      <c r="F74" s="321">
        <f t="shared" si="0"/>
        <v>0.92792174068615052</v>
      </c>
      <c r="G74" s="35">
        <v>89097229.569999993</v>
      </c>
      <c r="H74" s="321">
        <f t="shared" si="1"/>
        <v>0.92792174068615052</v>
      </c>
      <c r="I74" s="35">
        <v>85780411.170000002</v>
      </c>
      <c r="J74" s="196">
        <f t="shared" si="2"/>
        <v>0.8933780414249991</v>
      </c>
      <c r="K74" s="461">
        <v>88687281.840000004</v>
      </c>
      <c r="L74" s="86">
        <v>0.74723104240046423</v>
      </c>
      <c r="M74" s="159">
        <f t="shared" si="3"/>
        <v>-3.2776635044969193E-2</v>
      </c>
      <c r="N74" t="s">
        <v>537</v>
      </c>
    </row>
    <row r="75" spans="1:18" ht="14.1" customHeight="1" thickBot="1" x14ac:dyDescent="0.25">
      <c r="A75" s="18">
        <v>9</v>
      </c>
      <c r="B75" s="2" t="s">
        <v>556</v>
      </c>
      <c r="C75" s="228">
        <f>SUBTOTAL(9,C62:C74)</f>
        <v>431227238.23000002</v>
      </c>
      <c r="D75" s="235">
        <f>SUBTOTAL(9,D62:D74)</f>
        <v>433444208.58000004</v>
      </c>
      <c r="E75" s="230">
        <f>SUBTOTAL(9,E62:E74)</f>
        <v>396464419.52000004</v>
      </c>
      <c r="F75" s="98">
        <f t="shared" si="0"/>
        <v>0.91468385474303848</v>
      </c>
      <c r="G75" s="230">
        <f>SUBTOTAL(9,G62:G74)</f>
        <v>390557142.71999997</v>
      </c>
      <c r="H75" s="98">
        <f t="shared" si="1"/>
        <v>0.90105516463006452</v>
      </c>
      <c r="I75" s="230">
        <f>SUBTOTAL(9,I62:I74)</f>
        <v>350512077.94</v>
      </c>
      <c r="J75" s="188">
        <f t="shared" si="2"/>
        <v>0.80866711563249916</v>
      </c>
      <c r="K75" s="92">
        <f>SUBTOTAL(9,K62:K74)</f>
        <v>368412227.19999993</v>
      </c>
      <c r="L75" s="44">
        <v>0.747</v>
      </c>
      <c r="M75" s="572">
        <f t="shared" si="3"/>
        <v>-4.8587283315877805E-2</v>
      </c>
    </row>
    <row r="76" spans="1:18" s="6" customFormat="1" ht="14.1" customHeight="1" thickBot="1" x14ac:dyDescent="0.25">
      <c r="A76" s="5"/>
      <c r="B76" s="4" t="s">
        <v>11</v>
      </c>
      <c r="C76" s="229">
        <f>SUBTOTAL(9,C5:C74)</f>
        <v>2550566229.5000014</v>
      </c>
      <c r="D76" s="236">
        <f>SUBTOTAL(9,D5:D74)</f>
        <v>2695226917.4099994</v>
      </c>
      <c r="E76" s="237">
        <f>SUBTOTAL(9,E5:E74)</f>
        <v>2443594247.1099992</v>
      </c>
      <c r="F76" s="199">
        <f>+E76/D76</f>
        <v>0.90663766799204848</v>
      </c>
      <c r="G76" s="237">
        <f>SUBTOTAL(9,G5:G74)</f>
        <v>2427437621.8299994</v>
      </c>
      <c r="H76" s="199">
        <f>+G76/D76</f>
        <v>0.90064313551849862</v>
      </c>
      <c r="I76" s="237">
        <f>SUBTOTAL(9,I5:I74)</f>
        <v>2181060275.7799997</v>
      </c>
      <c r="J76" s="191">
        <f>+I76/D76</f>
        <v>0.80923066688422196</v>
      </c>
      <c r="K76" s="164">
        <f>SUBTOTAL(9,K5:K74)</f>
        <v>2061011101.4599998</v>
      </c>
      <c r="L76" s="208">
        <v>0.76300000000000001</v>
      </c>
      <c r="M76" s="161">
        <f t="shared" si="3"/>
        <v>5.8247708726536285E-2</v>
      </c>
      <c r="O76" s="295"/>
      <c r="P76" s="47" t="s">
        <v>148</v>
      </c>
    </row>
    <row r="77" spans="1:18" s="313" customFormat="1" ht="14.1" customHeight="1" x14ac:dyDescent="0.2">
      <c r="A77" s="285"/>
      <c r="B77" s="310"/>
      <c r="C77" s="311"/>
      <c r="D77" s="311"/>
      <c r="E77" s="311"/>
      <c r="F77" s="312"/>
      <c r="G77" s="311"/>
      <c r="H77" s="312"/>
      <c r="I77" s="311"/>
      <c r="J77" s="312"/>
      <c r="K77" s="311"/>
      <c r="L77" s="312"/>
      <c r="M77" s="312"/>
      <c r="O77" s="314"/>
      <c r="P77" s="315"/>
    </row>
    <row r="78" spans="1:18" ht="15.75" thickBot="1" x14ac:dyDescent="0.3">
      <c r="A78" s="7" t="s">
        <v>19</v>
      </c>
      <c r="K78" s="105"/>
    </row>
    <row r="79" spans="1:18" ht="12.75" customHeight="1" x14ac:dyDescent="0.2">
      <c r="A79" s="605" t="s">
        <v>477</v>
      </c>
      <c r="B79" s="606"/>
      <c r="C79" s="181" t="s">
        <v>479</v>
      </c>
      <c r="D79" s="592" t="s">
        <v>551</v>
      </c>
      <c r="E79" s="593"/>
      <c r="F79" s="593"/>
      <c r="G79" s="593"/>
      <c r="H79" s="593"/>
      <c r="I79" s="593"/>
      <c r="J79" s="594"/>
      <c r="K79" s="591" t="s">
        <v>552</v>
      </c>
      <c r="L79" s="590"/>
      <c r="M79" s="224"/>
    </row>
    <row r="80" spans="1:18" ht="12.75" customHeight="1" x14ac:dyDescent="0.2">
      <c r="C80" s="174" t="s">
        <v>448</v>
      </c>
      <c r="D80" s="165">
        <v>2</v>
      </c>
      <c r="E80" s="95">
        <v>3</v>
      </c>
      <c r="F80" s="96" t="s">
        <v>36</v>
      </c>
      <c r="G80" s="95">
        <v>4</v>
      </c>
      <c r="H80" s="96" t="s">
        <v>37</v>
      </c>
      <c r="I80" s="95">
        <v>5</v>
      </c>
      <c r="J80" s="166" t="s">
        <v>38</v>
      </c>
      <c r="K80" s="95" t="s">
        <v>39</v>
      </c>
      <c r="L80" s="16" t="s">
        <v>40</v>
      </c>
      <c r="M80" s="156" t="s">
        <v>362</v>
      </c>
    </row>
    <row r="81" spans="1:16" ht="14.1" customHeight="1" x14ac:dyDescent="0.2">
      <c r="A81" s="1"/>
      <c r="B81" s="2" t="s">
        <v>426</v>
      </c>
      <c r="C81" s="288" t="s">
        <v>13</v>
      </c>
      <c r="D81" s="289" t="s">
        <v>14</v>
      </c>
      <c r="E81" s="97" t="s">
        <v>15</v>
      </c>
      <c r="F81" s="97" t="s">
        <v>18</v>
      </c>
      <c r="G81" s="97" t="s">
        <v>16</v>
      </c>
      <c r="H81" s="97" t="s">
        <v>18</v>
      </c>
      <c r="I81" s="97" t="s">
        <v>17</v>
      </c>
      <c r="J81" s="128" t="s">
        <v>18</v>
      </c>
      <c r="K81" s="97" t="s">
        <v>17</v>
      </c>
      <c r="L81" s="12" t="s">
        <v>18</v>
      </c>
      <c r="M81" s="286" t="s">
        <v>517</v>
      </c>
    </row>
    <row r="82" spans="1:16" ht="14.1" customHeight="1" x14ac:dyDescent="0.2">
      <c r="A82" s="17" t="s">
        <v>53</v>
      </c>
      <c r="B82" s="13" t="s">
        <v>96</v>
      </c>
      <c r="C82" s="226">
        <v>36667752.200000003</v>
      </c>
      <c r="D82" s="33">
        <v>26858176.73</v>
      </c>
      <c r="E82" s="33">
        <v>24957508.899999999</v>
      </c>
      <c r="F82" s="86">
        <f>+E82/D82</f>
        <v>0.92923317732595756</v>
      </c>
      <c r="G82" s="33">
        <v>24957508.899999999</v>
      </c>
      <c r="H82" s="86">
        <f>+G82/D82</f>
        <v>0.92923317732595756</v>
      </c>
      <c r="I82" s="33">
        <v>24957508.899999999</v>
      </c>
      <c r="J82" s="190">
        <f>+I82/D82</f>
        <v>0.92923317732595756</v>
      </c>
      <c r="K82" s="462">
        <v>30732765.510000002</v>
      </c>
      <c r="L82" s="61">
        <v>0.73886874343269138</v>
      </c>
      <c r="M82" s="183">
        <f>+I82/K82-1</f>
        <v>-0.18791854602609115</v>
      </c>
    </row>
    <row r="83" spans="1:16" ht="14.1" customHeight="1" x14ac:dyDescent="0.2">
      <c r="A83" s="18">
        <v>0</v>
      </c>
      <c r="B83" s="2" t="s">
        <v>96</v>
      </c>
      <c r="C83" s="228">
        <f>SUBTOTAL(9,C82:C82)</f>
        <v>36667752.200000003</v>
      </c>
      <c r="D83" s="235">
        <f>SUBTOTAL(9,D82:D82)</f>
        <v>26858176.73</v>
      </c>
      <c r="E83" s="230">
        <f>SUBTOTAL(9,E82:E82)</f>
        <v>24957508.899999999</v>
      </c>
      <c r="F83" s="98">
        <f t="shared" ref="F83:F109" si="4">+E83/D83</f>
        <v>0.92923317732595756</v>
      </c>
      <c r="G83" s="230">
        <f>SUBTOTAL(9,G82:G82)</f>
        <v>24957508.899999999</v>
      </c>
      <c r="H83" s="98">
        <f t="shared" ref="H83:H109" si="5">+G83/D83</f>
        <v>0.92923317732595756</v>
      </c>
      <c r="I83" s="230">
        <f>SUBTOTAL(9,I82:I82)</f>
        <v>24957508.899999999</v>
      </c>
      <c r="J83" s="188">
        <f t="shared" ref="J83:J109" si="6">+I83/D83</f>
        <v>0.92923317732595756</v>
      </c>
      <c r="K83" s="230">
        <f>SUBTOTAL(9,K82:K82)</f>
        <v>30732765.510000002</v>
      </c>
      <c r="L83" s="44"/>
      <c r="M83" s="161">
        <f t="shared" ref="M83:M109" si="7">+I83/K83-1</f>
        <v>-0.18791854602609115</v>
      </c>
    </row>
    <row r="84" spans="1:16" ht="14.1" customHeight="1" x14ac:dyDescent="0.2">
      <c r="A84" s="38" t="s">
        <v>54</v>
      </c>
      <c r="B84" s="39" t="s">
        <v>518</v>
      </c>
      <c r="C84" s="226">
        <v>7424467.5899999999</v>
      </c>
      <c r="D84" s="33">
        <v>7738943.9100000001</v>
      </c>
      <c r="E84" s="33">
        <v>8041932.0300000003</v>
      </c>
      <c r="F84" s="49">
        <f t="shared" si="4"/>
        <v>1.039151093937829</v>
      </c>
      <c r="G84" s="33">
        <v>7928283.9500000002</v>
      </c>
      <c r="H84" s="49">
        <f t="shared" si="5"/>
        <v>1.0244658757321321</v>
      </c>
      <c r="I84" s="33">
        <v>7672525.2800000003</v>
      </c>
      <c r="J84" s="170">
        <f t="shared" si="6"/>
        <v>0.99141761062330791</v>
      </c>
      <c r="K84" s="459">
        <v>6953612.9299999997</v>
      </c>
      <c r="L84" s="53">
        <v>0.81535940292276243</v>
      </c>
      <c r="M84" s="158">
        <f t="shared" si="7"/>
        <v>0.10338688063846546</v>
      </c>
    </row>
    <row r="85" spans="1:16" ht="14.1" customHeight="1" x14ac:dyDescent="0.2">
      <c r="A85" s="40" t="s">
        <v>55</v>
      </c>
      <c r="B85" s="41" t="s">
        <v>106</v>
      </c>
      <c r="C85" s="226">
        <v>167280142.05000001</v>
      </c>
      <c r="D85" s="33">
        <v>172421102.24000001</v>
      </c>
      <c r="E85" s="33">
        <v>152592525.69999999</v>
      </c>
      <c r="F85" s="321">
        <f t="shared" si="4"/>
        <v>0.88499913129890673</v>
      </c>
      <c r="G85" s="33">
        <v>152032454.5</v>
      </c>
      <c r="H85" s="321">
        <f t="shared" si="5"/>
        <v>0.88175085604301373</v>
      </c>
      <c r="I85" s="33">
        <v>149055610.46000001</v>
      </c>
      <c r="J85" s="196">
        <f t="shared" si="6"/>
        <v>0.86448589252447405</v>
      </c>
      <c r="K85" s="460">
        <v>146352167.44</v>
      </c>
      <c r="L85" s="55">
        <v>0.86971699264287972</v>
      </c>
      <c r="M85" s="159">
        <f t="shared" si="7"/>
        <v>1.847217617127761E-2</v>
      </c>
      <c r="N85" s="54" t="s">
        <v>148</v>
      </c>
    </row>
    <row r="86" spans="1:16" ht="14.1" customHeight="1" x14ac:dyDescent="0.2">
      <c r="A86" s="40" t="s">
        <v>56</v>
      </c>
      <c r="B86" s="41" t="s">
        <v>122</v>
      </c>
      <c r="C86" s="226">
        <v>51836587</v>
      </c>
      <c r="D86" s="33">
        <v>51686828.299999997</v>
      </c>
      <c r="E86" s="33">
        <v>0</v>
      </c>
      <c r="F86" s="321" t="s">
        <v>129</v>
      </c>
      <c r="G86" s="33">
        <v>0</v>
      </c>
      <c r="H86" s="321" t="s">
        <v>129</v>
      </c>
      <c r="I86" s="33">
        <v>0</v>
      </c>
      <c r="J86" s="196" t="s">
        <v>129</v>
      </c>
      <c r="K86" s="460">
        <v>11750942.390000001</v>
      </c>
      <c r="L86" s="55">
        <v>0.17022709326896959</v>
      </c>
      <c r="M86" s="159">
        <f t="shared" si="7"/>
        <v>-1</v>
      </c>
    </row>
    <row r="87" spans="1:16" ht="14.1" customHeight="1" x14ac:dyDescent="0.2">
      <c r="A87" s="40">
        <v>134</v>
      </c>
      <c r="B87" s="41" t="s">
        <v>480</v>
      </c>
      <c r="C87" s="226">
        <v>15463303.810000001</v>
      </c>
      <c r="D87" s="33">
        <v>16182088.26</v>
      </c>
      <c r="E87" s="33">
        <v>15604359.26</v>
      </c>
      <c r="F87" s="321">
        <f t="shared" si="4"/>
        <v>0.96429824193778069</v>
      </c>
      <c r="G87" s="33">
        <v>15490564.609999999</v>
      </c>
      <c r="H87" s="321">
        <f t="shared" si="5"/>
        <v>0.95726610565403003</v>
      </c>
      <c r="I87" s="33">
        <v>9666996.3900000006</v>
      </c>
      <c r="J87" s="196">
        <f t="shared" si="6"/>
        <v>0.59738868276324686</v>
      </c>
      <c r="K87" s="466"/>
      <c r="L87" s="55"/>
      <c r="M87" s="159" t="s">
        <v>129</v>
      </c>
      <c r="N87" t="s">
        <v>525</v>
      </c>
    </row>
    <row r="88" spans="1:16" ht="14.1" customHeight="1" x14ac:dyDescent="0.2">
      <c r="A88" s="40" t="s">
        <v>57</v>
      </c>
      <c r="B88" s="41" t="s">
        <v>487</v>
      </c>
      <c r="C88" s="226">
        <v>1692440.07</v>
      </c>
      <c r="D88" s="33">
        <v>329402.94</v>
      </c>
      <c r="E88" s="33">
        <v>385426.93</v>
      </c>
      <c r="F88" s="321">
        <f t="shared" si="4"/>
        <v>1.1700773830373219</v>
      </c>
      <c r="G88" s="33">
        <v>385426.93</v>
      </c>
      <c r="H88" s="321">
        <f t="shared" si="5"/>
        <v>1.1700773830373219</v>
      </c>
      <c r="I88" s="33">
        <v>385426.93</v>
      </c>
      <c r="J88" s="196">
        <f t="shared" si="6"/>
        <v>1.1700773830373219</v>
      </c>
      <c r="K88" s="466"/>
      <c r="L88" s="55"/>
      <c r="M88" s="159" t="s">
        <v>129</v>
      </c>
      <c r="N88" t="s">
        <v>525</v>
      </c>
      <c r="O88" s="316"/>
    </row>
    <row r="89" spans="1:16" ht="14.1" customHeight="1" x14ac:dyDescent="0.2">
      <c r="A89" s="40">
        <v>136</v>
      </c>
      <c r="B89" s="41" t="s">
        <v>481</v>
      </c>
      <c r="C89" s="226">
        <v>38450866.25</v>
      </c>
      <c r="D89" s="33">
        <v>42951553.939999998</v>
      </c>
      <c r="E89" s="33">
        <v>37487475.950000003</v>
      </c>
      <c r="F89" s="321">
        <f t="shared" si="4"/>
        <v>0.87278509183549235</v>
      </c>
      <c r="G89" s="33">
        <v>37172195.700000003</v>
      </c>
      <c r="H89" s="321">
        <f t="shared" si="5"/>
        <v>0.86544472295290387</v>
      </c>
      <c r="I89" s="33">
        <v>36420782.469999999</v>
      </c>
      <c r="J89" s="196">
        <f t="shared" si="6"/>
        <v>0.84795028652227622</v>
      </c>
      <c r="K89" s="460">
        <v>35823660.649999999</v>
      </c>
      <c r="L89" s="55">
        <v>0.86619745407392723</v>
      </c>
      <c r="M89" s="159">
        <f t="shared" si="7"/>
        <v>1.6668364124870605E-2</v>
      </c>
      <c r="N89" t="s">
        <v>538</v>
      </c>
      <c r="O89" s="316"/>
    </row>
    <row r="90" spans="1:16" ht="14.1" customHeight="1" x14ac:dyDescent="0.2">
      <c r="A90" s="40" t="s">
        <v>58</v>
      </c>
      <c r="B90" s="41" t="s">
        <v>519</v>
      </c>
      <c r="C90" s="226">
        <v>19474656.210000001</v>
      </c>
      <c r="D90" s="33">
        <v>23657422.780000001</v>
      </c>
      <c r="E90" s="33">
        <v>23243579.489999998</v>
      </c>
      <c r="F90" s="321">
        <f t="shared" si="4"/>
        <v>0.98250683120268423</v>
      </c>
      <c r="G90" s="33">
        <v>22803144.899999999</v>
      </c>
      <c r="H90" s="321">
        <f t="shared" si="5"/>
        <v>0.96388964732362103</v>
      </c>
      <c r="I90" s="33">
        <v>18892595.100000001</v>
      </c>
      <c r="J90" s="196">
        <f t="shared" si="6"/>
        <v>0.79859058510683645</v>
      </c>
      <c r="K90" s="460">
        <v>17101261.609999999</v>
      </c>
      <c r="L90" s="55">
        <v>0.75447817284359253</v>
      </c>
      <c r="M90" s="159">
        <f t="shared" si="7"/>
        <v>0.10474861626305487</v>
      </c>
      <c r="O90" s="316"/>
      <c r="P90" s="316"/>
    </row>
    <row r="91" spans="1:16" ht="14.1" customHeight="1" x14ac:dyDescent="0.2">
      <c r="A91" s="40" t="s">
        <v>59</v>
      </c>
      <c r="B91" s="41" t="s">
        <v>488</v>
      </c>
      <c r="C91" s="226">
        <v>27557934.539999999</v>
      </c>
      <c r="D91" s="33">
        <v>26984085.75</v>
      </c>
      <c r="E91" s="33">
        <v>25850443.5</v>
      </c>
      <c r="F91" s="321">
        <f t="shared" si="4"/>
        <v>0.95798848771446699</v>
      </c>
      <c r="G91" s="33">
        <v>25786537.440000001</v>
      </c>
      <c r="H91" s="321">
        <f t="shared" si="5"/>
        <v>0.95562020069551556</v>
      </c>
      <c r="I91" s="33">
        <v>24991682.350000001</v>
      </c>
      <c r="J91" s="196">
        <f t="shared" si="6"/>
        <v>0.92616376117171217</v>
      </c>
      <c r="K91" s="460">
        <v>28906280.609999999</v>
      </c>
      <c r="L91" s="55">
        <v>0.91276890760080598</v>
      </c>
      <c r="M91" s="159">
        <f t="shared" si="7"/>
        <v>-0.13542379639965718</v>
      </c>
      <c r="O91" s="316"/>
      <c r="P91" s="316"/>
    </row>
    <row r="92" spans="1:16" ht="14.1" customHeight="1" x14ac:dyDescent="0.2">
      <c r="A92" s="40">
        <v>152</v>
      </c>
      <c r="B92" s="41" t="s">
        <v>482</v>
      </c>
      <c r="C92" s="226">
        <v>23402734.940000001</v>
      </c>
      <c r="D92" s="33">
        <v>30509802.399999999</v>
      </c>
      <c r="E92" s="33">
        <v>22909802.399999999</v>
      </c>
      <c r="F92" s="321">
        <f t="shared" si="4"/>
        <v>0.75089973050759584</v>
      </c>
      <c r="G92" s="33">
        <v>22890456.550000001</v>
      </c>
      <c r="H92" s="321">
        <f t="shared" si="5"/>
        <v>0.7502656441327854</v>
      </c>
      <c r="I92" s="33">
        <v>18460606.879999999</v>
      </c>
      <c r="J92" s="196">
        <f t="shared" si="6"/>
        <v>0.60507133536859614</v>
      </c>
      <c r="K92" s="460">
        <v>5247154.55</v>
      </c>
      <c r="L92" s="55">
        <v>0.99857940420436619</v>
      </c>
      <c r="M92" s="159">
        <f t="shared" si="7"/>
        <v>2.5182129102715298</v>
      </c>
      <c r="N92" t="s">
        <v>539</v>
      </c>
      <c r="O92" s="316"/>
      <c r="P92" s="316"/>
    </row>
    <row r="93" spans="1:16" ht="14.1" customHeight="1" x14ac:dyDescent="0.2">
      <c r="A93" s="40" t="s">
        <v>60</v>
      </c>
      <c r="B93" s="41" t="s">
        <v>97</v>
      </c>
      <c r="C93" s="226">
        <v>27896547.940000001</v>
      </c>
      <c r="D93" s="33">
        <v>29183125.579999998</v>
      </c>
      <c r="E93" s="33">
        <v>27544978.449999999</v>
      </c>
      <c r="F93" s="321">
        <f t="shared" si="4"/>
        <v>0.94386663191681341</v>
      </c>
      <c r="G93" s="33">
        <v>26753927.789999999</v>
      </c>
      <c r="H93" s="321">
        <f t="shared" si="5"/>
        <v>0.91676019131875319</v>
      </c>
      <c r="I93" s="33">
        <v>20127611.890000001</v>
      </c>
      <c r="J93" s="196">
        <f t="shared" si="6"/>
        <v>0.68970034874516695</v>
      </c>
      <c r="K93" s="460">
        <v>23435307</v>
      </c>
      <c r="L93" s="55">
        <v>0.72499999999999998</v>
      </c>
      <c r="M93" s="159">
        <f t="shared" si="7"/>
        <v>-0.1411415310241082</v>
      </c>
      <c r="N93" t="s">
        <v>540</v>
      </c>
      <c r="O93" s="317"/>
    </row>
    <row r="94" spans="1:16" ht="14.1" customHeight="1" x14ac:dyDescent="0.2">
      <c r="A94" s="40" t="s">
        <v>502</v>
      </c>
      <c r="B94" s="41" t="s">
        <v>162</v>
      </c>
      <c r="C94" s="226">
        <v>20724083.260000002</v>
      </c>
      <c r="D94" s="33">
        <v>21791180.219999999</v>
      </c>
      <c r="E94" s="33">
        <v>21744547.27</v>
      </c>
      <c r="F94" s="321">
        <f t="shared" si="4"/>
        <v>0.99786000806155517</v>
      </c>
      <c r="G94" s="33">
        <v>21744547.27</v>
      </c>
      <c r="H94" s="321">
        <f t="shared" si="5"/>
        <v>0.99786000806155517</v>
      </c>
      <c r="I94" s="33">
        <v>17830479.559999999</v>
      </c>
      <c r="J94" s="196">
        <f t="shared" si="6"/>
        <v>0.81824294875204329</v>
      </c>
      <c r="K94" s="460">
        <v>22159734.059999999</v>
      </c>
      <c r="L94" s="55">
        <v>0.96920931443775105</v>
      </c>
      <c r="M94" s="159">
        <f t="shared" si="7"/>
        <v>-0.19536581478270687</v>
      </c>
      <c r="N94" t="s">
        <v>541</v>
      </c>
      <c r="O94" s="316"/>
      <c r="P94" s="316"/>
    </row>
    <row r="95" spans="1:16" ht="14.1" customHeight="1" x14ac:dyDescent="0.2">
      <c r="A95" s="40" t="s">
        <v>61</v>
      </c>
      <c r="B95" s="41" t="s">
        <v>490</v>
      </c>
      <c r="C95" s="226">
        <v>2253145.13</v>
      </c>
      <c r="D95" s="33">
        <v>3485232.28</v>
      </c>
      <c r="E95" s="33">
        <v>3483997.21</v>
      </c>
      <c r="F95" s="321">
        <f t="shared" si="4"/>
        <v>0.99964562763661768</v>
      </c>
      <c r="G95" s="33">
        <v>3483997.21</v>
      </c>
      <c r="H95" s="321">
        <f t="shared" si="5"/>
        <v>0.99964562763661768</v>
      </c>
      <c r="I95" s="33">
        <v>2941469.33</v>
      </c>
      <c r="J95" s="196">
        <f t="shared" si="6"/>
        <v>0.84398085799893952</v>
      </c>
      <c r="K95" s="460"/>
      <c r="L95" s="55"/>
      <c r="M95" s="159" t="s">
        <v>129</v>
      </c>
      <c r="N95" t="s">
        <v>525</v>
      </c>
    </row>
    <row r="96" spans="1:16" ht="14.1" customHeight="1" x14ac:dyDescent="0.2">
      <c r="A96" s="40" t="s">
        <v>62</v>
      </c>
      <c r="B96" s="41" t="s">
        <v>503</v>
      </c>
      <c r="C96" s="226">
        <v>158630554.56</v>
      </c>
      <c r="D96" s="33">
        <v>148194900.94999999</v>
      </c>
      <c r="E96" s="33">
        <v>145583905.43000001</v>
      </c>
      <c r="F96" s="321">
        <f t="shared" si="4"/>
        <v>0.98238134036149516</v>
      </c>
      <c r="G96" s="33">
        <v>145583905.43000001</v>
      </c>
      <c r="H96" s="321">
        <f t="shared" si="5"/>
        <v>0.98238134036149516</v>
      </c>
      <c r="I96" s="33">
        <v>112662765.19</v>
      </c>
      <c r="J96" s="196">
        <f t="shared" si="6"/>
        <v>0.7602337493920367</v>
      </c>
      <c r="K96" s="460">
        <v>108736023.19</v>
      </c>
      <c r="L96" s="55">
        <v>0.72750041870187254</v>
      </c>
      <c r="M96" s="159">
        <v>-0.13664648765991405</v>
      </c>
    </row>
    <row r="97" spans="1:14" ht="14.1" customHeight="1" x14ac:dyDescent="0.2">
      <c r="A97" s="40" t="s">
        <v>63</v>
      </c>
      <c r="B97" s="41" t="s">
        <v>98</v>
      </c>
      <c r="C97" s="226">
        <v>168939654.47999999</v>
      </c>
      <c r="D97" s="33">
        <v>176954487.46000001</v>
      </c>
      <c r="E97" s="33">
        <v>176635268.33000001</v>
      </c>
      <c r="F97" s="321">
        <f t="shared" si="4"/>
        <v>0.99819603823230452</v>
      </c>
      <c r="G97" s="33">
        <v>176633758.53999999</v>
      </c>
      <c r="H97" s="321">
        <f t="shared" si="5"/>
        <v>0.99818750615141916</v>
      </c>
      <c r="I97" s="33">
        <v>133270261.95</v>
      </c>
      <c r="J97" s="196">
        <f t="shared" si="6"/>
        <v>0.7531329883912965</v>
      </c>
      <c r="K97" s="460">
        <v>133248672.26000001</v>
      </c>
      <c r="L97" s="55">
        <v>0.76379535542147925</v>
      </c>
      <c r="M97" s="159">
        <v>6.0961129298376049E-2</v>
      </c>
    </row>
    <row r="98" spans="1:14" ht="14.1" customHeight="1" x14ac:dyDescent="0.2">
      <c r="A98" s="40" t="s">
        <v>64</v>
      </c>
      <c r="B98" s="41" t="s">
        <v>504</v>
      </c>
      <c r="C98" s="226">
        <v>12029885</v>
      </c>
      <c r="D98" s="33">
        <v>12029885</v>
      </c>
      <c r="E98" s="33">
        <v>0</v>
      </c>
      <c r="F98" s="321" t="s">
        <v>129</v>
      </c>
      <c r="G98" s="33">
        <v>0</v>
      </c>
      <c r="H98" s="321" t="s">
        <v>129</v>
      </c>
      <c r="I98" s="33">
        <v>0</v>
      </c>
      <c r="J98" s="196" t="s">
        <v>129</v>
      </c>
      <c r="K98" s="460">
        <v>0</v>
      </c>
      <c r="L98" s="55">
        <v>0</v>
      </c>
      <c r="M98" s="159" t="s">
        <v>129</v>
      </c>
    </row>
    <row r="99" spans="1:14" ht="14.1" customHeight="1" x14ac:dyDescent="0.2">
      <c r="A99" s="40" t="s">
        <v>65</v>
      </c>
      <c r="B99" s="41" t="s">
        <v>99</v>
      </c>
      <c r="C99" s="226">
        <v>31201317.460000001</v>
      </c>
      <c r="D99" s="33">
        <v>30375312.079999998</v>
      </c>
      <c r="E99" s="33">
        <v>30242388.329999998</v>
      </c>
      <c r="F99" s="321">
        <f t="shared" si="4"/>
        <v>0.99562395442555729</v>
      </c>
      <c r="G99" s="33">
        <v>30241988.329999998</v>
      </c>
      <c r="H99" s="321">
        <f t="shared" si="5"/>
        <v>0.9956107858365747</v>
      </c>
      <c r="I99" s="33">
        <v>22780814.34</v>
      </c>
      <c r="J99" s="196">
        <f t="shared" si="6"/>
        <v>0.74997795183146643</v>
      </c>
      <c r="K99" s="460">
        <v>21877880.469999999</v>
      </c>
      <c r="L99" s="55">
        <v>0.81125384084329821</v>
      </c>
      <c r="M99" s="159">
        <v>0.10370119832847058</v>
      </c>
    </row>
    <row r="100" spans="1:14" ht="14.1" customHeight="1" x14ac:dyDescent="0.2">
      <c r="A100" s="40" t="s">
        <v>66</v>
      </c>
      <c r="B100" s="41" t="s">
        <v>112</v>
      </c>
      <c r="C100" s="226">
        <v>1332914.3600000001</v>
      </c>
      <c r="D100" s="33">
        <v>1348914.36</v>
      </c>
      <c r="E100" s="33">
        <v>1344866.56</v>
      </c>
      <c r="F100" s="321">
        <f t="shared" si="4"/>
        <v>0.99699921646619583</v>
      </c>
      <c r="G100" s="33">
        <v>1278883.25</v>
      </c>
      <c r="H100" s="321">
        <f t="shared" si="5"/>
        <v>0.94808335349028372</v>
      </c>
      <c r="I100" s="33">
        <v>1144951.5</v>
      </c>
      <c r="J100" s="196">
        <f t="shared" si="6"/>
        <v>0.84879480414160613</v>
      </c>
      <c r="K100" s="460">
        <v>1103449.82</v>
      </c>
      <c r="L100" s="55">
        <v>0.83912533840304182</v>
      </c>
      <c r="M100" s="159">
        <v>-0.88231148930965764</v>
      </c>
    </row>
    <row r="101" spans="1:14" ht="14.1" customHeight="1" x14ac:dyDescent="0.2">
      <c r="A101" s="40" t="s">
        <v>67</v>
      </c>
      <c r="B101" s="41" t="s">
        <v>109</v>
      </c>
      <c r="C101" s="226">
        <v>47869228.009999998</v>
      </c>
      <c r="D101" s="33">
        <v>47548406.799999997</v>
      </c>
      <c r="E101" s="33">
        <v>47548406.799999997</v>
      </c>
      <c r="F101" s="321">
        <f t="shared" si="4"/>
        <v>1</v>
      </c>
      <c r="G101" s="33">
        <v>47546680.549999997</v>
      </c>
      <c r="H101" s="321">
        <f t="shared" si="5"/>
        <v>0.99996369489292747</v>
      </c>
      <c r="I101" s="33">
        <v>39514273.75</v>
      </c>
      <c r="J101" s="196">
        <f t="shared" si="6"/>
        <v>0.8310325499696869</v>
      </c>
      <c r="K101" s="460">
        <v>46456376.710000001</v>
      </c>
      <c r="L101" s="55">
        <v>0.99936958932561881</v>
      </c>
      <c r="M101" s="159">
        <v>6.7457669420734057E-3</v>
      </c>
    </row>
    <row r="102" spans="1:14" ht="14.1" customHeight="1" x14ac:dyDescent="0.2">
      <c r="A102" s="42" t="s">
        <v>505</v>
      </c>
      <c r="B102" s="43" t="s">
        <v>506</v>
      </c>
      <c r="C102" s="226">
        <v>2485349.2200000002</v>
      </c>
      <c r="D102" s="33">
        <v>2738427.79</v>
      </c>
      <c r="E102" s="33">
        <v>2537607.58</v>
      </c>
      <c r="F102" s="321">
        <f t="shared" si="4"/>
        <v>0.92666587348647966</v>
      </c>
      <c r="G102" s="33">
        <v>2373491.1800000002</v>
      </c>
      <c r="H102" s="321">
        <f t="shared" si="5"/>
        <v>0.86673498883824873</v>
      </c>
      <c r="I102" s="33">
        <v>2000244.23</v>
      </c>
      <c r="J102" s="196">
        <f t="shared" si="6"/>
        <v>0.73043526555797911</v>
      </c>
      <c r="K102" s="554"/>
      <c r="L102" s="375"/>
      <c r="M102" s="159" t="s">
        <v>129</v>
      </c>
      <c r="N102" t="s">
        <v>525</v>
      </c>
    </row>
    <row r="103" spans="1:14" ht="14.1" customHeight="1" x14ac:dyDescent="0.2">
      <c r="A103" s="42" t="s">
        <v>68</v>
      </c>
      <c r="B103" s="43" t="s">
        <v>131</v>
      </c>
      <c r="C103" s="226">
        <v>1483166.28</v>
      </c>
      <c r="D103" s="33">
        <v>1528547.14</v>
      </c>
      <c r="E103" s="33">
        <v>1520147.14</v>
      </c>
      <c r="F103" s="456">
        <f t="shared" si="4"/>
        <v>0.99450458557660182</v>
      </c>
      <c r="G103" s="33">
        <v>1502205.97</v>
      </c>
      <c r="H103" s="456">
        <f t="shared" si="5"/>
        <v>0.98276718505390681</v>
      </c>
      <c r="I103" s="33">
        <v>1327146.48</v>
      </c>
      <c r="J103" s="458">
        <f t="shared" si="6"/>
        <v>0.86824046525643961</v>
      </c>
      <c r="K103" s="461">
        <v>3038023.13</v>
      </c>
      <c r="L103" s="375">
        <v>0.81697291331869093</v>
      </c>
      <c r="M103" s="159">
        <f t="shared" si="7"/>
        <v>-0.56315458335565727</v>
      </c>
    </row>
    <row r="104" spans="1:14" ht="14.1" customHeight="1" x14ac:dyDescent="0.2">
      <c r="A104" s="18">
        <v>1</v>
      </c>
      <c r="B104" s="2" t="s">
        <v>126</v>
      </c>
      <c r="C104" s="228">
        <f>SUBTOTAL(9,C84:C103)</f>
        <v>827428978.15999997</v>
      </c>
      <c r="D104" s="235">
        <f>SUBTOTAL(9,D84:D103)</f>
        <v>847639650.17999995</v>
      </c>
      <c r="E104" s="230">
        <f>SUBTOTAL(9,E84:E103)</f>
        <v>744301658.3599999</v>
      </c>
      <c r="F104" s="98">
        <f t="shared" si="4"/>
        <v>0.87808735492959089</v>
      </c>
      <c r="G104" s="230">
        <f>SUBTOTAL(9,G84:G103)</f>
        <v>741632450.0999999</v>
      </c>
      <c r="H104" s="98">
        <f t="shared" si="5"/>
        <v>0.87493836554544258</v>
      </c>
      <c r="I104" s="230">
        <f>SUBTOTAL(9,I84:I103)</f>
        <v>619146244.08000004</v>
      </c>
      <c r="J104" s="188">
        <f t="shared" si="6"/>
        <v>0.73043567977090462</v>
      </c>
      <c r="K104" s="230">
        <f>SUBTOTAL(9,K84:K103)</f>
        <v>612190546.82000017</v>
      </c>
      <c r="L104" s="44">
        <v>0.751</v>
      </c>
      <c r="M104" s="161">
        <f t="shared" si="7"/>
        <v>1.1361980834449392E-2</v>
      </c>
    </row>
    <row r="105" spans="1:14" ht="14.1" customHeight="1" x14ac:dyDescent="0.2">
      <c r="A105" s="38" t="s">
        <v>69</v>
      </c>
      <c r="B105" s="39" t="s">
        <v>100</v>
      </c>
      <c r="C105" s="226">
        <v>708758.5</v>
      </c>
      <c r="D105" s="33">
        <v>654494.4</v>
      </c>
      <c r="E105" s="33">
        <v>554349.35</v>
      </c>
      <c r="F105" s="49">
        <f t="shared" si="4"/>
        <v>0.84698868317284293</v>
      </c>
      <c r="G105" s="33">
        <v>554349.35</v>
      </c>
      <c r="H105" s="49">
        <f t="shared" si="5"/>
        <v>0.84698868317284293</v>
      </c>
      <c r="I105" s="33">
        <v>554349.35</v>
      </c>
      <c r="J105" s="170">
        <f t="shared" si="6"/>
        <v>0.84698868317284293</v>
      </c>
      <c r="K105" s="459">
        <v>649314.97</v>
      </c>
      <c r="L105" s="53">
        <v>0.91929148088595969</v>
      </c>
      <c r="M105" s="158">
        <f t="shared" si="7"/>
        <v>-0.14625509096147904</v>
      </c>
    </row>
    <row r="106" spans="1:14" ht="14.1" customHeight="1" x14ac:dyDescent="0.2">
      <c r="A106" s="40" t="s">
        <v>70</v>
      </c>
      <c r="B106" s="41" t="s">
        <v>547</v>
      </c>
      <c r="C106" s="226">
        <v>20680688.129999999</v>
      </c>
      <c r="D106" s="33">
        <v>20582030.989999998</v>
      </c>
      <c r="E106" s="33">
        <v>18288687.559999999</v>
      </c>
      <c r="F106" s="321">
        <f t="shared" si="4"/>
        <v>0.88857545540018645</v>
      </c>
      <c r="G106" s="33">
        <v>17508179.989999998</v>
      </c>
      <c r="H106" s="321">
        <f t="shared" si="5"/>
        <v>0.8506536599088077</v>
      </c>
      <c r="I106" s="33">
        <v>16268256.289999999</v>
      </c>
      <c r="J106" s="196">
        <f t="shared" si="6"/>
        <v>0.79041064013090379</v>
      </c>
      <c r="K106" s="460">
        <v>16472704.720000001</v>
      </c>
      <c r="L106" s="55">
        <v>0.79665985260652217</v>
      </c>
      <c r="M106" s="159">
        <f t="shared" si="7"/>
        <v>-1.2411345524319106E-2</v>
      </c>
    </row>
    <row r="107" spans="1:14" ht="14.1" customHeight="1" x14ac:dyDescent="0.2">
      <c r="A107" s="40" t="s">
        <v>71</v>
      </c>
      <c r="B107" s="41" t="s">
        <v>491</v>
      </c>
      <c r="C107" s="226">
        <v>180754699.88999999</v>
      </c>
      <c r="D107" s="33">
        <v>199353770.88999999</v>
      </c>
      <c r="E107" s="33">
        <v>185016312.81999999</v>
      </c>
      <c r="F107" s="321">
        <f t="shared" si="4"/>
        <v>0.92808032671771656</v>
      </c>
      <c r="G107" s="33">
        <v>184218715.81</v>
      </c>
      <c r="H107" s="321">
        <f t="shared" si="5"/>
        <v>0.92407941413683492</v>
      </c>
      <c r="I107" s="33">
        <v>164491600.24000001</v>
      </c>
      <c r="J107" s="196">
        <f t="shared" si="6"/>
        <v>0.82512409725504354</v>
      </c>
      <c r="K107" s="460">
        <v>157135805</v>
      </c>
      <c r="L107" s="55">
        <v>0.91400000000000003</v>
      </c>
      <c r="M107" s="159">
        <f t="shared" si="7"/>
        <v>4.6811706854462676E-2</v>
      </c>
      <c r="N107" t="s">
        <v>530</v>
      </c>
    </row>
    <row r="108" spans="1:14" ht="14.1" customHeight="1" x14ac:dyDescent="0.2">
      <c r="A108" s="40" t="s">
        <v>72</v>
      </c>
      <c r="B108" s="41" t="s">
        <v>101</v>
      </c>
      <c r="C108" s="226">
        <v>29950298.399999999</v>
      </c>
      <c r="D108" s="33">
        <v>32805012.129999999</v>
      </c>
      <c r="E108" s="33">
        <v>30094252.41</v>
      </c>
      <c r="F108" s="321">
        <f t="shared" si="4"/>
        <v>0.91736751355988599</v>
      </c>
      <c r="G108" s="33">
        <v>27959562.449999999</v>
      </c>
      <c r="H108" s="321">
        <f t="shared" si="5"/>
        <v>0.85229544617150554</v>
      </c>
      <c r="I108" s="33">
        <v>21880847.620000001</v>
      </c>
      <c r="J108" s="196">
        <f t="shared" si="6"/>
        <v>0.66699708975233363</v>
      </c>
      <c r="K108" s="460">
        <v>20121882.890000001</v>
      </c>
      <c r="L108" s="55">
        <v>0.69675524205785544</v>
      </c>
      <c r="M108" s="159">
        <f t="shared" si="7"/>
        <v>8.7415513727800986E-2</v>
      </c>
    </row>
    <row r="109" spans="1:14" ht="14.1" customHeight="1" x14ac:dyDescent="0.2">
      <c r="A109" s="42">
        <v>234</v>
      </c>
      <c r="B109" s="43" t="s">
        <v>434</v>
      </c>
      <c r="C109" s="226">
        <v>8908528.6099999994</v>
      </c>
      <c r="D109" s="33">
        <v>9877238.1099999994</v>
      </c>
      <c r="E109" s="33">
        <v>9784762.2899999991</v>
      </c>
      <c r="F109" s="456">
        <f t="shared" si="4"/>
        <v>0.99063748195901291</v>
      </c>
      <c r="G109" s="33">
        <v>9703586.9700000007</v>
      </c>
      <c r="H109" s="456">
        <f t="shared" si="5"/>
        <v>0.98241905904605165</v>
      </c>
      <c r="I109" s="33">
        <v>9691911.6300000008</v>
      </c>
      <c r="J109" s="458">
        <f t="shared" si="6"/>
        <v>0.9812370140381278</v>
      </c>
      <c r="K109" s="464">
        <v>8150320.25</v>
      </c>
      <c r="L109" s="395">
        <v>0.9303749771694666</v>
      </c>
      <c r="M109" s="160">
        <f t="shared" si="7"/>
        <v>0.18914488421482578</v>
      </c>
    </row>
    <row r="110" spans="1:14" ht="14.1" customHeight="1" x14ac:dyDescent="0.2">
      <c r="A110" s="40">
        <v>239</v>
      </c>
      <c r="B110" s="41" t="s">
        <v>475</v>
      </c>
      <c r="C110" s="226">
        <v>2850236.89</v>
      </c>
      <c r="D110" s="33">
        <v>0</v>
      </c>
      <c r="E110" s="33">
        <v>0</v>
      </c>
      <c r="F110" s="321" t="s">
        <v>129</v>
      </c>
      <c r="G110" s="33">
        <v>0</v>
      </c>
      <c r="H110" s="321" t="s">
        <v>129</v>
      </c>
      <c r="I110" s="33">
        <v>0</v>
      </c>
      <c r="J110" s="196" t="s">
        <v>129</v>
      </c>
      <c r="K110" s="466">
        <v>0</v>
      </c>
      <c r="L110" s="55">
        <v>0</v>
      </c>
      <c r="M110" s="159" t="s">
        <v>129</v>
      </c>
    </row>
    <row r="111" spans="1:14" ht="14.1" customHeight="1" x14ac:dyDescent="0.2">
      <c r="A111" s="18">
        <v>2</v>
      </c>
      <c r="B111" s="2" t="s">
        <v>125</v>
      </c>
      <c r="C111" s="228">
        <f>SUBTOTAL(9,C105:C110)</f>
        <v>243853210.41999996</v>
      </c>
      <c r="D111" s="235">
        <f>SUBTOTAL(9,D105:D110)</f>
        <v>263272546.51999998</v>
      </c>
      <c r="E111" s="230">
        <f>SUBTOTAL(9,E105:E110)</f>
        <v>243738364.42999998</v>
      </c>
      <c r="F111" s="263">
        <f>E111/D111</f>
        <v>0.92580243421424857</v>
      </c>
      <c r="G111" s="230">
        <f>SUBTOTAL(9,G105:G110)</f>
        <v>239944394.56999999</v>
      </c>
      <c r="H111" s="263">
        <f>G111/D111</f>
        <v>0.91139162720018807</v>
      </c>
      <c r="I111" s="230">
        <f>SUBTOTAL(9,I105:I110)</f>
        <v>212886965.13</v>
      </c>
      <c r="J111" s="318">
        <f>I111/D111</f>
        <v>0.80861817133609737</v>
      </c>
      <c r="K111" s="230">
        <f>SUBTOTAL(9,K105:K110)</f>
        <v>202530027.82999998</v>
      </c>
      <c r="L111" s="44">
        <v>0.87</v>
      </c>
      <c r="M111" s="161">
        <f t="shared" ref="M111:M129" si="8">+I111/K111-1</f>
        <v>5.1137786386389328E-2</v>
      </c>
    </row>
    <row r="112" spans="1:14" ht="14.1" customHeight="1" x14ac:dyDescent="0.2">
      <c r="A112" s="38" t="s">
        <v>507</v>
      </c>
      <c r="B112" s="39" t="s">
        <v>484</v>
      </c>
      <c r="C112" s="226">
        <v>16774924.1</v>
      </c>
      <c r="D112" s="33">
        <v>16907197.399999999</v>
      </c>
      <c r="E112" s="33">
        <v>16754778.34</v>
      </c>
      <c r="F112" s="49">
        <f>+E112/D112</f>
        <v>0.9909849600502092</v>
      </c>
      <c r="G112" s="33">
        <v>16688577.58</v>
      </c>
      <c r="H112" s="49">
        <f>+G112/D112</f>
        <v>0.98706942287194221</v>
      </c>
      <c r="I112" s="33">
        <v>16388595.76</v>
      </c>
      <c r="J112" s="170">
        <f>+I112/D112</f>
        <v>0.96932657567480707</v>
      </c>
      <c r="K112" s="460">
        <v>16526801.130000001</v>
      </c>
      <c r="L112" s="53">
        <v>0.9879933002690815</v>
      </c>
      <c r="M112" s="158">
        <f>+I112/K112-1</f>
        <v>-8.3624997307631954E-3</v>
      </c>
      <c r="N112" t="s">
        <v>531</v>
      </c>
    </row>
    <row r="113" spans="1:14" ht="14.1" customHeight="1" x14ac:dyDescent="0.2">
      <c r="A113" s="38" t="s">
        <v>73</v>
      </c>
      <c r="B113" s="39" t="s">
        <v>132</v>
      </c>
      <c r="C113" s="226">
        <v>2248848</v>
      </c>
      <c r="D113" s="33">
        <v>2248848</v>
      </c>
      <c r="E113" s="33">
        <v>2248848</v>
      </c>
      <c r="F113" s="49">
        <f>+E113/D113</f>
        <v>1</v>
      </c>
      <c r="G113" s="33">
        <v>2248848</v>
      </c>
      <c r="H113" s="49">
        <f>+G113/D113</f>
        <v>1</v>
      </c>
      <c r="I113" s="33">
        <v>2248848</v>
      </c>
      <c r="J113" s="170">
        <f>+I113/D113</f>
        <v>1</v>
      </c>
      <c r="K113" s="104">
        <v>2231000</v>
      </c>
      <c r="L113" s="53">
        <v>1</v>
      </c>
      <c r="M113" s="158">
        <f>+I113/K113-1</f>
        <v>8.0000000000000071E-3</v>
      </c>
    </row>
    <row r="114" spans="1:14" ht="14.1" customHeight="1" x14ac:dyDescent="0.2">
      <c r="A114" s="40" t="s">
        <v>74</v>
      </c>
      <c r="B114" s="41" t="s">
        <v>521</v>
      </c>
      <c r="C114" s="226">
        <v>8261679.1600000001</v>
      </c>
      <c r="D114" s="33">
        <v>8659221.9700000007</v>
      </c>
      <c r="E114" s="33">
        <v>8659221.9700000007</v>
      </c>
      <c r="F114" s="321">
        <f t="shared" ref="F114:F152" si="9">+E114/D114</f>
        <v>1</v>
      </c>
      <c r="G114" s="33">
        <v>8659221.9700000007</v>
      </c>
      <c r="H114" s="321">
        <f t="shared" ref="H114:H152" si="10">+G114/D114</f>
        <v>1</v>
      </c>
      <c r="I114" s="33">
        <v>8659221.9700000007</v>
      </c>
      <c r="J114" s="196">
        <f t="shared" ref="J114:J152" si="11">+I114/D114</f>
        <v>1</v>
      </c>
      <c r="K114" s="104">
        <v>48944267.159999996</v>
      </c>
      <c r="L114" s="55">
        <v>0.99251440893543807</v>
      </c>
      <c r="M114" s="159">
        <f t="shared" si="8"/>
        <v>-0.82307995455948302</v>
      </c>
    </row>
    <row r="115" spans="1:14" ht="14.1" customHeight="1" x14ac:dyDescent="0.2">
      <c r="A115" s="40">
        <v>323</v>
      </c>
      <c r="B115" s="41" t="s">
        <v>492</v>
      </c>
      <c r="C115" s="226">
        <v>39307154.049999997</v>
      </c>
      <c r="D115" s="33">
        <v>39307154.049999997</v>
      </c>
      <c r="E115" s="33">
        <v>39307154.049999997</v>
      </c>
      <c r="F115" s="321">
        <f t="shared" si="9"/>
        <v>1</v>
      </c>
      <c r="G115" s="33">
        <v>39307154.049999997</v>
      </c>
      <c r="H115" s="321">
        <f t="shared" si="10"/>
        <v>1</v>
      </c>
      <c r="I115" s="33">
        <v>39307154.049999997</v>
      </c>
      <c r="J115" s="196">
        <f t="shared" si="11"/>
        <v>1</v>
      </c>
      <c r="K115" s="104">
        <v>9469237</v>
      </c>
      <c r="L115" s="465">
        <v>0.99</v>
      </c>
      <c r="M115" s="159">
        <f t="shared" si="8"/>
        <v>3.1510370951746163</v>
      </c>
      <c r="N115" t="s">
        <v>532</v>
      </c>
    </row>
    <row r="116" spans="1:14" ht="14.1" customHeight="1" x14ac:dyDescent="0.2">
      <c r="A116" s="40">
        <v>324</v>
      </c>
      <c r="B116" s="41" t="s">
        <v>486</v>
      </c>
      <c r="C116" s="226">
        <v>7463831</v>
      </c>
      <c r="D116" s="33">
        <v>7522078.5</v>
      </c>
      <c r="E116" s="33">
        <v>7522078.5</v>
      </c>
      <c r="F116" s="321">
        <f t="shared" si="9"/>
        <v>1</v>
      </c>
      <c r="G116" s="33">
        <v>7522078.5</v>
      </c>
      <c r="H116" s="321">
        <f t="shared" si="10"/>
        <v>1</v>
      </c>
      <c r="I116" s="33">
        <v>7522078.5</v>
      </c>
      <c r="J116" s="196">
        <f t="shared" si="11"/>
        <v>1</v>
      </c>
      <c r="K116" s="104"/>
      <c r="L116" s="55"/>
      <c r="M116" s="159" t="s">
        <v>129</v>
      </c>
      <c r="N116" t="s">
        <v>525</v>
      </c>
    </row>
    <row r="117" spans="1:14" ht="14.1" customHeight="1" x14ac:dyDescent="0.2">
      <c r="A117" s="40" t="s">
        <v>485</v>
      </c>
      <c r="B117" s="41" t="s">
        <v>114</v>
      </c>
      <c r="C117" s="226">
        <v>14209859.460000001</v>
      </c>
      <c r="D117" s="33">
        <v>22782120.690000001</v>
      </c>
      <c r="E117" s="33">
        <v>22325232.09</v>
      </c>
      <c r="F117" s="321">
        <f t="shared" si="9"/>
        <v>0.97994529981572132</v>
      </c>
      <c r="G117" s="33">
        <v>22286746.960000001</v>
      </c>
      <c r="H117" s="321">
        <f t="shared" si="10"/>
        <v>0.97825603082607493</v>
      </c>
      <c r="I117" s="33">
        <v>22203423.66</v>
      </c>
      <c r="J117" s="196">
        <f t="shared" si="11"/>
        <v>0.97459863206439712</v>
      </c>
      <c r="K117" s="104">
        <v>5390139.21</v>
      </c>
      <c r="L117" s="55">
        <v>0.97490967622783586</v>
      </c>
      <c r="M117" s="159">
        <f t="shared" si="8"/>
        <v>3.1192672016350391</v>
      </c>
      <c r="N117" t="s">
        <v>533</v>
      </c>
    </row>
    <row r="118" spans="1:14" ht="14.1" customHeight="1" x14ac:dyDescent="0.2">
      <c r="A118" s="40">
        <v>328</v>
      </c>
      <c r="B118" s="41" t="s">
        <v>435</v>
      </c>
      <c r="C118" s="226">
        <v>9039781.6799999997</v>
      </c>
      <c r="D118" s="33">
        <v>9039781.6799999997</v>
      </c>
      <c r="E118" s="33">
        <v>9039781.6799999997</v>
      </c>
      <c r="F118" s="321">
        <f t="shared" si="9"/>
        <v>1</v>
      </c>
      <c r="G118" s="33">
        <v>9039781.6799999997</v>
      </c>
      <c r="H118" s="321">
        <f t="shared" si="10"/>
        <v>1</v>
      </c>
      <c r="I118" s="33">
        <v>9039781.6799999997</v>
      </c>
      <c r="J118" s="196">
        <f t="shared" si="11"/>
        <v>1</v>
      </c>
      <c r="K118" s="104">
        <v>9056865.1799999997</v>
      </c>
      <c r="L118" s="55">
        <v>0.88647438591472416</v>
      </c>
      <c r="M118" s="159">
        <f t="shared" si="8"/>
        <v>-1.886248681025382E-3</v>
      </c>
      <c r="N118" t="s">
        <v>534</v>
      </c>
    </row>
    <row r="119" spans="1:14" ht="14.1" customHeight="1" x14ac:dyDescent="0.2">
      <c r="A119" s="40" t="s">
        <v>509</v>
      </c>
      <c r="B119" s="41" t="s">
        <v>508</v>
      </c>
      <c r="C119" s="226">
        <v>28919222.559999999</v>
      </c>
      <c r="D119" s="33">
        <v>28919222.559999999</v>
      </c>
      <c r="E119" s="33">
        <v>28919222.559999999</v>
      </c>
      <c r="F119" s="321">
        <f t="shared" si="9"/>
        <v>1</v>
      </c>
      <c r="G119" s="33">
        <v>28919222.559999999</v>
      </c>
      <c r="H119" s="321">
        <f t="shared" si="10"/>
        <v>1</v>
      </c>
      <c r="I119" s="33">
        <v>28501558.120000001</v>
      </c>
      <c r="J119" s="196">
        <f t="shared" si="11"/>
        <v>0.98555754951110974</v>
      </c>
      <c r="K119" s="104">
        <v>26955236.109999999</v>
      </c>
      <c r="L119" s="465">
        <v>0.92085829488960702</v>
      </c>
      <c r="M119" s="159">
        <f t="shared" si="8"/>
        <v>5.7366294388582206E-2</v>
      </c>
      <c r="N119" t="s">
        <v>535</v>
      </c>
    </row>
    <row r="120" spans="1:14" ht="14.1" customHeight="1" x14ac:dyDescent="0.2">
      <c r="A120" s="40" t="s">
        <v>436</v>
      </c>
      <c r="B120" s="41" t="s">
        <v>522</v>
      </c>
      <c r="C120" s="226">
        <v>10147004.630000001</v>
      </c>
      <c r="D120" s="33">
        <v>12018976.109999999</v>
      </c>
      <c r="E120" s="33">
        <v>12016934.869999999</v>
      </c>
      <c r="F120" s="321">
        <f t="shared" si="9"/>
        <v>0.99983016523360069</v>
      </c>
      <c r="G120" s="33">
        <v>12016934.869999999</v>
      </c>
      <c r="H120" s="321">
        <f t="shared" si="10"/>
        <v>0.99983016523360069</v>
      </c>
      <c r="I120" s="33">
        <v>11986934.869999999</v>
      </c>
      <c r="J120" s="196">
        <f t="shared" si="11"/>
        <v>0.99733411234811076</v>
      </c>
      <c r="K120" s="104">
        <v>10172600.5</v>
      </c>
      <c r="L120" s="55">
        <v>0.99606378281968355</v>
      </c>
      <c r="M120" s="159">
        <f t="shared" si="8"/>
        <v>0.17835502042963336</v>
      </c>
    </row>
    <row r="121" spans="1:14" ht="14.1" customHeight="1" x14ac:dyDescent="0.2">
      <c r="A121" s="40" t="s">
        <v>76</v>
      </c>
      <c r="B121" s="41" t="s">
        <v>110</v>
      </c>
      <c r="C121" s="226">
        <v>12497819.630000001</v>
      </c>
      <c r="D121" s="33">
        <v>12633005.310000001</v>
      </c>
      <c r="E121" s="33">
        <v>12619326.130000001</v>
      </c>
      <c r="F121" s="321">
        <f t="shared" si="9"/>
        <v>0.99891718718829547</v>
      </c>
      <c r="G121" s="33">
        <v>12583451.32</v>
      </c>
      <c r="H121" s="321">
        <f t="shared" si="10"/>
        <v>0.99607741873101452</v>
      </c>
      <c r="I121" s="33">
        <v>12551716.039999999</v>
      </c>
      <c r="J121" s="196">
        <f t="shared" si="11"/>
        <v>0.99356532606412706</v>
      </c>
      <c r="K121" s="104">
        <v>12280864.08</v>
      </c>
      <c r="L121" s="55">
        <v>0.9962823427717945</v>
      </c>
      <c r="M121" s="159">
        <f t="shared" si="8"/>
        <v>2.2054796652386521E-2</v>
      </c>
    </row>
    <row r="122" spans="1:14" ht="14.1" customHeight="1" x14ac:dyDescent="0.2">
      <c r="A122" s="40" t="s">
        <v>77</v>
      </c>
      <c r="B122" s="41" t="s">
        <v>493</v>
      </c>
      <c r="C122" s="226">
        <v>64496879.130000003</v>
      </c>
      <c r="D122" s="33">
        <v>64679921.130000003</v>
      </c>
      <c r="E122" s="33">
        <v>64679921.130000003</v>
      </c>
      <c r="F122" s="321">
        <f t="shared" si="9"/>
        <v>1</v>
      </c>
      <c r="G122" s="33">
        <v>64679921.130000003</v>
      </c>
      <c r="H122" s="321">
        <f t="shared" si="10"/>
        <v>1</v>
      </c>
      <c r="I122" s="33">
        <v>64624921.130000003</v>
      </c>
      <c r="J122" s="196">
        <f t="shared" si="11"/>
        <v>0.99914965882704998</v>
      </c>
      <c r="K122" s="104">
        <v>63700194</v>
      </c>
      <c r="L122" s="55">
        <v>1</v>
      </c>
      <c r="M122" s="159">
        <f t="shared" si="8"/>
        <v>1.4516865207663265E-2</v>
      </c>
      <c r="N122" t="s">
        <v>536</v>
      </c>
    </row>
    <row r="123" spans="1:14" ht="14.1" customHeight="1" x14ac:dyDescent="0.2">
      <c r="A123" s="40" t="s">
        <v>78</v>
      </c>
      <c r="B123" s="41" t="s">
        <v>102</v>
      </c>
      <c r="C123" s="226">
        <v>16590471.789999999</v>
      </c>
      <c r="D123" s="33">
        <v>16384283.91</v>
      </c>
      <c r="E123" s="33">
        <v>16245832.630000001</v>
      </c>
      <c r="F123" s="321">
        <f t="shared" si="9"/>
        <v>0.99154975092225439</v>
      </c>
      <c r="G123" s="33">
        <v>16044353.869999999</v>
      </c>
      <c r="H123" s="321">
        <f t="shared" si="10"/>
        <v>0.97925267641434555</v>
      </c>
      <c r="I123" s="33">
        <v>15938146.029999999</v>
      </c>
      <c r="J123" s="196">
        <f t="shared" si="11"/>
        <v>0.97277037663344534</v>
      </c>
      <c r="K123" s="104">
        <v>25668738.73</v>
      </c>
      <c r="L123" s="55">
        <v>0.93387574019505726</v>
      </c>
      <c r="M123" s="159">
        <f t="shared" si="8"/>
        <v>-0.37908339799444446</v>
      </c>
    </row>
    <row r="124" spans="1:14" ht="14.1" customHeight="1" x14ac:dyDescent="0.2">
      <c r="A124" s="40">
        <v>336</v>
      </c>
      <c r="B124" s="41" t="s">
        <v>437</v>
      </c>
      <c r="C124" s="226">
        <v>211322.62</v>
      </c>
      <c r="D124" s="33">
        <v>211322.62</v>
      </c>
      <c r="E124" s="33">
        <v>211322.62</v>
      </c>
      <c r="F124" s="321">
        <f t="shared" si="9"/>
        <v>1</v>
      </c>
      <c r="G124" s="33">
        <v>211322.62</v>
      </c>
      <c r="H124" s="321">
        <f t="shared" si="10"/>
        <v>1</v>
      </c>
      <c r="I124" s="33">
        <v>211322.62</v>
      </c>
      <c r="J124" s="196">
        <f t="shared" si="11"/>
        <v>1</v>
      </c>
      <c r="K124" s="104">
        <v>211322.62</v>
      </c>
      <c r="L124" s="55">
        <v>1</v>
      </c>
      <c r="M124" s="159">
        <f t="shared" si="8"/>
        <v>0</v>
      </c>
    </row>
    <row r="125" spans="1:14" ht="14.1" customHeight="1" x14ac:dyDescent="0.2">
      <c r="A125" s="40" t="s">
        <v>510</v>
      </c>
      <c r="B125" s="41" t="s">
        <v>495</v>
      </c>
      <c r="C125" s="226">
        <v>13215052.93</v>
      </c>
      <c r="D125" s="33">
        <v>12275167.380000001</v>
      </c>
      <c r="E125" s="33">
        <v>11589912.560000001</v>
      </c>
      <c r="F125" s="321">
        <f t="shared" si="9"/>
        <v>0.94417552129541715</v>
      </c>
      <c r="G125" s="33">
        <v>11472193.060000001</v>
      </c>
      <c r="H125" s="321">
        <f t="shared" si="10"/>
        <v>0.93458546876449999</v>
      </c>
      <c r="I125" s="33">
        <v>9862522.8499999996</v>
      </c>
      <c r="J125" s="196">
        <f t="shared" si="11"/>
        <v>0.80345322753554171</v>
      </c>
      <c r="K125" s="104"/>
      <c r="L125" s="55"/>
      <c r="M125" s="159" t="s">
        <v>129</v>
      </c>
      <c r="N125" t="s">
        <v>525</v>
      </c>
    </row>
    <row r="126" spans="1:14" ht="14.1" customHeight="1" x14ac:dyDescent="0.2">
      <c r="A126" s="40">
        <v>338</v>
      </c>
      <c r="B126" s="41" t="s">
        <v>430</v>
      </c>
      <c r="C126" s="226">
        <v>6508517.5999999996</v>
      </c>
      <c r="D126" s="33">
        <v>6859968.8499999996</v>
      </c>
      <c r="E126" s="33">
        <v>6737135.25</v>
      </c>
      <c r="F126" s="321">
        <f t="shared" si="9"/>
        <v>0.98209414609805412</v>
      </c>
      <c r="G126" s="33">
        <v>6461531.2199999997</v>
      </c>
      <c r="H126" s="321">
        <f t="shared" si="10"/>
        <v>0.94191844909033373</v>
      </c>
      <c r="I126" s="33">
        <v>6069891.6299999999</v>
      </c>
      <c r="J126" s="196">
        <f t="shared" si="11"/>
        <v>0.88482787061052037</v>
      </c>
      <c r="K126" s="104">
        <v>6342098.9199999999</v>
      </c>
      <c r="L126" s="55">
        <v>0.88233317864223293</v>
      </c>
      <c r="M126" s="159">
        <f t="shared" si="8"/>
        <v>-4.2920694463087994E-2</v>
      </c>
    </row>
    <row r="127" spans="1:14" ht="14.1" customHeight="1" x14ac:dyDescent="0.2">
      <c r="A127" s="40" t="s">
        <v>79</v>
      </c>
      <c r="B127" s="41" t="s">
        <v>115</v>
      </c>
      <c r="C127" s="226">
        <v>11347381.6</v>
      </c>
      <c r="D127" s="33">
        <v>12577030.199999999</v>
      </c>
      <c r="E127" s="33">
        <v>12494933.699999999</v>
      </c>
      <c r="F127" s="456">
        <f t="shared" si="9"/>
        <v>0.99347250513877272</v>
      </c>
      <c r="G127" s="33">
        <v>12473360.789999999</v>
      </c>
      <c r="H127" s="456">
        <f t="shared" si="10"/>
        <v>0.99175724250069786</v>
      </c>
      <c r="I127" s="33">
        <v>12205406.970000001</v>
      </c>
      <c r="J127" s="458">
        <f t="shared" si="11"/>
        <v>0.97045222726745151</v>
      </c>
      <c r="K127" s="461">
        <v>10580851.789999999</v>
      </c>
      <c r="L127" s="394">
        <v>0.97880088058123593</v>
      </c>
      <c r="M127" s="159">
        <f t="shared" si="8"/>
        <v>0.15353727773933801</v>
      </c>
    </row>
    <row r="128" spans="1:14" ht="14.1" customHeight="1" x14ac:dyDescent="0.2">
      <c r="A128" s="40">
        <v>342</v>
      </c>
      <c r="B128" s="41" t="s">
        <v>497</v>
      </c>
      <c r="C128" s="226">
        <v>4676210.57</v>
      </c>
      <c r="D128" s="33">
        <v>4691311.7300000004</v>
      </c>
      <c r="E128" s="33">
        <v>4668710.57</v>
      </c>
      <c r="F128" s="456">
        <f t="shared" si="9"/>
        <v>0.99518233677470835</v>
      </c>
      <c r="G128" s="33">
        <v>4667210.57</v>
      </c>
      <c r="H128" s="456">
        <f t="shared" si="10"/>
        <v>0.99486259677738365</v>
      </c>
      <c r="I128" s="33">
        <v>4628695.3600000003</v>
      </c>
      <c r="J128" s="458">
        <f t="shared" si="11"/>
        <v>0.98665269468247419</v>
      </c>
      <c r="K128" s="277">
        <v>4356829.84</v>
      </c>
      <c r="L128" s="80">
        <v>0.96073264624043264</v>
      </c>
      <c r="M128" s="159">
        <f t="shared" si="8"/>
        <v>6.2399848050985751E-2</v>
      </c>
    </row>
    <row r="129" spans="1:16" ht="14.1" customHeight="1" x14ac:dyDescent="0.2">
      <c r="A129" s="40">
        <v>343</v>
      </c>
      <c r="B129" s="41" t="s">
        <v>438</v>
      </c>
      <c r="C129" s="226">
        <v>7608676.7199999997</v>
      </c>
      <c r="D129" s="33">
        <v>7683967.7199999997</v>
      </c>
      <c r="E129" s="33">
        <v>7683967.7199999997</v>
      </c>
      <c r="F129" s="456">
        <f t="shared" si="9"/>
        <v>1</v>
      </c>
      <c r="G129" s="33">
        <v>7683967.7199999997</v>
      </c>
      <c r="H129" s="456">
        <f t="shared" si="10"/>
        <v>1</v>
      </c>
      <c r="I129" s="33">
        <v>7683967.7199999997</v>
      </c>
      <c r="J129" s="458">
        <f t="shared" si="11"/>
        <v>1</v>
      </c>
      <c r="K129" s="467">
        <v>8663183.2300000004</v>
      </c>
      <c r="L129" s="61">
        <v>1</v>
      </c>
      <c r="M129" s="159">
        <f t="shared" si="8"/>
        <v>-0.11303183645118409</v>
      </c>
    </row>
    <row r="130" spans="1:16" ht="14.1" customHeight="1" x14ac:dyDescent="0.2">
      <c r="A130" s="18">
        <v>3</v>
      </c>
      <c r="B130" s="2" t="s">
        <v>124</v>
      </c>
      <c r="C130" s="228">
        <f>SUBTOTAL(9,C112:C129)</f>
        <v>273524637.23000002</v>
      </c>
      <c r="D130" s="235">
        <f>SUBTOTAL(9,D112:D129)</f>
        <v>285400579.81</v>
      </c>
      <c r="E130" s="230">
        <f>SUBTOTAL(9,E112:E129)</f>
        <v>283724314.37</v>
      </c>
      <c r="F130" s="98">
        <f t="shared" si="9"/>
        <v>0.99412662216343095</v>
      </c>
      <c r="G130" s="230">
        <f>SUBTOTAL(9,G112:G129)</f>
        <v>282965878.47000003</v>
      </c>
      <c r="H130" s="98">
        <f t="shared" si="10"/>
        <v>0.99146917871848461</v>
      </c>
      <c r="I130" s="230">
        <f>SUBTOTAL(9,I112:I129)</f>
        <v>279634186.96000004</v>
      </c>
      <c r="J130" s="188">
        <f t="shared" si="11"/>
        <v>0.97979544101193194</v>
      </c>
      <c r="K130" s="230">
        <f>SUBTOTAL(9,K112:K129)</f>
        <v>260550229.49999994</v>
      </c>
      <c r="L130" s="44">
        <v>0.97199999999999998</v>
      </c>
      <c r="M130" s="161">
        <f t="shared" ref="M130:M131" si="12">+I130/K130-1</f>
        <v>7.3244830743855127E-2</v>
      </c>
    </row>
    <row r="131" spans="1:16" ht="14.1" customHeight="1" x14ac:dyDescent="0.2">
      <c r="A131" s="38">
        <v>430</v>
      </c>
      <c r="B131" s="39" t="s">
        <v>546</v>
      </c>
      <c r="C131" s="226">
        <v>3157718.66</v>
      </c>
      <c r="D131" s="33">
        <v>4694050.92</v>
      </c>
      <c r="E131" s="33">
        <v>3197238.6</v>
      </c>
      <c r="F131" s="456">
        <f t="shared" si="9"/>
        <v>0.68112567470827523</v>
      </c>
      <c r="G131" s="33">
        <v>3175391.42</v>
      </c>
      <c r="H131" s="456">
        <f t="shared" si="10"/>
        <v>0.67647144739537679</v>
      </c>
      <c r="I131" s="33">
        <v>2951989.46</v>
      </c>
      <c r="J131" s="196">
        <f t="shared" si="11"/>
        <v>0.62887887462456415</v>
      </c>
      <c r="K131" s="459">
        <v>2337021.2400000002</v>
      </c>
      <c r="L131" s="53">
        <v>0.72249785214964923</v>
      </c>
      <c r="M131" s="158">
        <f t="shared" si="12"/>
        <v>0.26314190452115871</v>
      </c>
    </row>
    <row r="132" spans="1:16" ht="14.1" customHeight="1" x14ac:dyDescent="0.2">
      <c r="A132" s="38" t="s">
        <v>80</v>
      </c>
      <c r="B132" s="39" t="s">
        <v>103</v>
      </c>
      <c r="C132" s="226">
        <v>8913661.5299999993</v>
      </c>
      <c r="D132" s="33">
        <v>7963252.75</v>
      </c>
      <c r="E132" s="33">
        <v>7235438.1799999997</v>
      </c>
      <c r="F132" s="49">
        <f t="shared" si="9"/>
        <v>0.90860335683807092</v>
      </c>
      <c r="G132" s="33">
        <v>5541517.8300000001</v>
      </c>
      <c r="H132" s="49">
        <f t="shared" si="10"/>
        <v>0.69588621684775731</v>
      </c>
      <c r="I132" s="33">
        <v>5137272.6900000004</v>
      </c>
      <c r="J132" s="170">
        <f t="shared" si="11"/>
        <v>0.64512239549347472</v>
      </c>
      <c r="K132" s="459">
        <v>4620623.13</v>
      </c>
      <c r="L132" s="53">
        <v>0.46058077341949927</v>
      </c>
      <c r="M132" s="158">
        <f t="shared" ref="M132:M152" si="13">+I132/K132-1</f>
        <v>0.11181382801933903</v>
      </c>
    </row>
    <row r="133" spans="1:16" ht="14.1" customHeight="1" x14ac:dyDescent="0.2">
      <c r="A133" s="40" t="s">
        <v>81</v>
      </c>
      <c r="B133" s="41" t="s">
        <v>498</v>
      </c>
      <c r="C133" s="226">
        <v>4243112</v>
      </c>
      <c r="D133" s="33">
        <v>8916337.7599999998</v>
      </c>
      <c r="E133" s="33">
        <v>8226910.6100000003</v>
      </c>
      <c r="F133" s="321">
        <f t="shared" si="9"/>
        <v>0.92267821514199799</v>
      </c>
      <c r="G133" s="33">
        <v>8152288.29</v>
      </c>
      <c r="H133" s="321">
        <f t="shared" si="10"/>
        <v>0.91430904811304503</v>
      </c>
      <c r="I133" s="33">
        <v>7889310.7400000002</v>
      </c>
      <c r="J133" s="196">
        <f t="shared" si="11"/>
        <v>0.88481515083385542</v>
      </c>
      <c r="K133" s="460">
        <v>6620054.0599999996</v>
      </c>
      <c r="L133" s="55">
        <v>0.81060276161779254</v>
      </c>
      <c r="M133" s="159">
        <f t="shared" si="13"/>
        <v>0.19172905062349299</v>
      </c>
    </row>
    <row r="134" spans="1:16" ht="14.1" customHeight="1" x14ac:dyDescent="0.2">
      <c r="A134" s="40" t="s">
        <v>82</v>
      </c>
      <c r="B134" s="41" t="s">
        <v>104</v>
      </c>
      <c r="C134" s="226">
        <v>64291367.520000003</v>
      </c>
      <c r="D134" s="33">
        <v>72310236</v>
      </c>
      <c r="E134" s="33">
        <v>66393189.710000001</v>
      </c>
      <c r="F134" s="321">
        <f t="shared" si="9"/>
        <v>0.91817138738144899</v>
      </c>
      <c r="G134" s="33">
        <v>66236725.039999999</v>
      </c>
      <c r="H134" s="321">
        <f t="shared" si="10"/>
        <v>0.91600759040531965</v>
      </c>
      <c r="I134" s="33">
        <v>62429924.219999999</v>
      </c>
      <c r="J134" s="196">
        <f t="shared" si="11"/>
        <v>0.86336219702007333</v>
      </c>
      <c r="K134" s="460">
        <v>41809627.18</v>
      </c>
      <c r="L134" s="55">
        <v>0.85243669489416707</v>
      </c>
      <c r="M134" s="159">
        <f t="shared" si="13"/>
        <v>0.49319495127820456</v>
      </c>
      <c r="O134" s="316"/>
      <c r="P134" s="316"/>
    </row>
    <row r="135" spans="1:16" ht="14.1" customHeight="1" x14ac:dyDescent="0.2">
      <c r="A135" s="40" t="s">
        <v>83</v>
      </c>
      <c r="B135" s="41" t="s">
        <v>499</v>
      </c>
      <c r="C135" s="226">
        <v>133403395</v>
      </c>
      <c r="D135" s="33">
        <v>133482963.62</v>
      </c>
      <c r="E135" s="33">
        <v>133482963.62</v>
      </c>
      <c r="F135" s="321">
        <f t="shared" si="9"/>
        <v>1</v>
      </c>
      <c r="G135" s="33">
        <v>133482963.62</v>
      </c>
      <c r="H135" s="321">
        <f t="shared" si="10"/>
        <v>1</v>
      </c>
      <c r="I135" s="33">
        <v>130181019.95</v>
      </c>
      <c r="J135" s="196">
        <f t="shared" si="11"/>
        <v>0.97526318280286317</v>
      </c>
      <c r="K135" s="460">
        <v>104330513.31999999</v>
      </c>
      <c r="L135" s="55">
        <v>0.97344738513846218</v>
      </c>
      <c r="M135" s="159">
        <f t="shared" si="13"/>
        <v>0.24777513123808736</v>
      </c>
      <c r="O135" s="316"/>
      <c r="P135" s="316"/>
    </row>
    <row r="136" spans="1:16" ht="14.1" customHeight="1" x14ac:dyDescent="0.2">
      <c r="A136" s="40">
        <v>491</v>
      </c>
      <c r="B136" s="41" t="s">
        <v>511</v>
      </c>
      <c r="C136" s="226">
        <v>17159000</v>
      </c>
      <c r="D136" s="33">
        <v>17159000</v>
      </c>
      <c r="E136" s="33">
        <v>17159000</v>
      </c>
      <c r="F136" s="321">
        <f t="shared" si="9"/>
        <v>1</v>
      </c>
      <c r="G136" s="33">
        <v>17159000</v>
      </c>
      <c r="H136" s="321">
        <f t="shared" si="10"/>
        <v>1</v>
      </c>
      <c r="I136" s="33">
        <v>17159000</v>
      </c>
      <c r="J136" s="196">
        <f t="shared" si="11"/>
        <v>1</v>
      </c>
      <c r="K136" s="460">
        <v>15625000</v>
      </c>
      <c r="L136" s="55">
        <v>0.9512937595129376</v>
      </c>
      <c r="M136" s="410" t="s">
        <v>129</v>
      </c>
      <c r="O136" s="316"/>
      <c r="P136" s="316"/>
    </row>
    <row r="137" spans="1:16" ht="14.1" customHeight="1" x14ac:dyDescent="0.2">
      <c r="A137" s="40" t="s">
        <v>84</v>
      </c>
      <c r="B137" s="41" t="s">
        <v>500</v>
      </c>
      <c r="C137" s="226">
        <v>1138067.27</v>
      </c>
      <c r="D137" s="33">
        <v>1034752.66</v>
      </c>
      <c r="E137" s="33">
        <v>836336.11</v>
      </c>
      <c r="F137" s="321">
        <f t="shared" si="9"/>
        <v>0.80824736415753684</v>
      </c>
      <c r="G137" s="33">
        <v>770953.65</v>
      </c>
      <c r="H137" s="321">
        <f t="shared" si="10"/>
        <v>0.74506080515898354</v>
      </c>
      <c r="I137" s="33">
        <v>751489.12</v>
      </c>
      <c r="J137" s="196">
        <f t="shared" si="11"/>
        <v>0.72625000065232981</v>
      </c>
      <c r="K137" s="460">
        <v>859833.55</v>
      </c>
      <c r="L137" s="55">
        <v>0.67529430781939881</v>
      </c>
      <c r="M137" s="411">
        <f t="shared" si="13"/>
        <v>-0.1260062834254374</v>
      </c>
    </row>
    <row r="138" spans="1:16" ht="14.1" customHeight="1" x14ac:dyDescent="0.2">
      <c r="A138" s="18">
        <v>4</v>
      </c>
      <c r="B138" s="2" t="s">
        <v>123</v>
      </c>
      <c r="C138" s="228">
        <f>SUBTOTAL(9,C131:C137)</f>
        <v>232306321.98000002</v>
      </c>
      <c r="D138" s="235">
        <f>SUBTOTAL(9,D131:D137)</f>
        <v>245560593.71000001</v>
      </c>
      <c r="E138" s="230">
        <f>SUBTOTAL(9,E131:E137)</f>
        <v>236531076.83000001</v>
      </c>
      <c r="F138" s="98">
        <f t="shared" si="9"/>
        <v>0.96322896624584808</v>
      </c>
      <c r="G138" s="230">
        <f>SUBTOTAL(9,G131:G137)</f>
        <v>234518839.84999999</v>
      </c>
      <c r="H138" s="98">
        <f t="shared" si="10"/>
        <v>0.95503450413937341</v>
      </c>
      <c r="I138" s="230">
        <f>SUBTOTAL(9,I131:I137)</f>
        <v>226500006.18000001</v>
      </c>
      <c r="J138" s="188">
        <f t="shared" si="11"/>
        <v>0.92237929041452793</v>
      </c>
      <c r="K138" s="230">
        <f>SUBTOTAL(9,K131:K137)</f>
        <v>176202672.48000002</v>
      </c>
      <c r="L138" s="44">
        <v>0.90200000000000002</v>
      </c>
      <c r="M138" s="161">
        <f t="shared" si="13"/>
        <v>0.2854515938497415</v>
      </c>
    </row>
    <row r="139" spans="1:16" ht="14.1" customHeight="1" x14ac:dyDescent="0.2">
      <c r="A139" s="38" t="s">
        <v>85</v>
      </c>
      <c r="B139" s="39" t="s">
        <v>113</v>
      </c>
      <c r="C139" s="226">
        <v>27475672.920000002</v>
      </c>
      <c r="D139" s="33">
        <v>28082675.489999998</v>
      </c>
      <c r="E139" s="33">
        <v>25196539.100000001</v>
      </c>
      <c r="F139" s="49">
        <f t="shared" si="9"/>
        <v>0.89722715732595615</v>
      </c>
      <c r="G139" s="33">
        <v>24441915.030000001</v>
      </c>
      <c r="H139" s="49">
        <f t="shared" si="10"/>
        <v>0.8703556411034824</v>
      </c>
      <c r="I139" s="33">
        <v>24236870.239999998</v>
      </c>
      <c r="J139" s="170">
        <f t="shared" si="11"/>
        <v>0.86305417190860401</v>
      </c>
      <c r="K139" s="459">
        <v>24485445.07</v>
      </c>
      <c r="L139" s="53">
        <v>0.88034523944872378</v>
      </c>
      <c r="M139" s="158">
        <f t="shared" si="13"/>
        <v>-1.0151942482130361E-2</v>
      </c>
    </row>
    <row r="140" spans="1:16" ht="14.1" customHeight="1" x14ac:dyDescent="0.2">
      <c r="A140" s="40" t="s">
        <v>86</v>
      </c>
      <c r="B140" s="41" t="s">
        <v>545</v>
      </c>
      <c r="C140" s="226">
        <v>55211919.460000001</v>
      </c>
      <c r="D140" s="33">
        <v>60726789.740000002</v>
      </c>
      <c r="E140" s="33">
        <v>52566475.770000003</v>
      </c>
      <c r="F140" s="321">
        <f t="shared" si="9"/>
        <v>0.8656225035945726</v>
      </c>
      <c r="G140" s="33">
        <v>50924431</v>
      </c>
      <c r="H140" s="321">
        <f t="shared" si="10"/>
        <v>0.83858262914986093</v>
      </c>
      <c r="I140" s="33">
        <v>47498296.979999997</v>
      </c>
      <c r="J140" s="196">
        <f t="shared" si="11"/>
        <v>0.78216380584849921</v>
      </c>
      <c r="K140" s="460">
        <v>47103341.719999999</v>
      </c>
      <c r="L140" s="55">
        <v>0.77993430365443372</v>
      </c>
      <c r="M140" s="159">
        <f t="shared" si="13"/>
        <v>8.3848670938839742E-3</v>
      </c>
    </row>
    <row r="141" spans="1:16" ht="14.1" customHeight="1" x14ac:dyDescent="0.2">
      <c r="A141" s="40" t="s">
        <v>87</v>
      </c>
      <c r="B141" s="41" t="s">
        <v>116</v>
      </c>
      <c r="C141" s="226">
        <v>6330784.5</v>
      </c>
      <c r="D141" s="33">
        <v>6792736.3799999999</v>
      </c>
      <c r="E141" s="33">
        <v>5766709.5599999996</v>
      </c>
      <c r="F141" s="321">
        <f t="shared" si="9"/>
        <v>0.8489523569586841</v>
      </c>
      <c r="G141" s="33">
        <v>5372969.1900000004</v>
      </c>
      <c r="H141" s="321">
        <f t="shared" si="10"/>
        <v>0.79098744444429636</v>
      </c>
      <c r="I141" s="33">
        <v>5282032.8899999997</v>
      </c>
      <c r="J141" s="196">
        <f t="shared" si="11"/>
        <v>0.77760015912762392</v>
      </c>
      <c r="K141" s="460">
        <v>4975537.99</v>
      </c>
      <c r="L141" s="55">
        <v>0.7601375372320941</v>
      </c>
      <c r="M141" s="159">
        <f t="shared" si="13"/>
        <v>6.1600353693611165E-2</v>
      </c>
    </row>
    <row r="142" spans="1:16" ht="14.1" customHeight="1" x14ac:dyDescent="0.2">
      <c r="A142" s="40" t="s">
        <v>88</v>
      </c>
      <c r="B142" s="41" t="s">
        <v>111</v>
      </c>
      <c r="C142" s="226">
        <v>2703306.46</v>
      </c>
      <c r="D142" s="33">
        <v>2172824.84</v>
      </c>
      <c r="E142" s="33">
        <v>1741225.29</v>
      </c>
      <c r="F142" s="321">
        <f t="shared" si="9"/>
        <v>0.80136477545056051</v>
      </c>
      <c r="G142" s="33">
        <v>1686233.3</v>
      </c>
      <c r="H142" s="321">
        <f t="shared" si="10"/>
        <v>0.77605579104112232</v>
      </c>
      <c r="I142" s="33">
        <v>1486579.77</v>
      </c>
      <c r="J142" s="196">
        <f t="shared" si="11"/>
        <v>0.68416917122504917</v>
      </c>
      <c r="K142" s="460">
        <v>1321530.27</v>
      </c>
      <c r="L142" s="55">
        <v>0.74991476618037123</v>
      </c>
      <c r="M142" s="159">
        <f t="shared" si="13"/>
        <v>0.12489271244615541</v>
      </c>
    </row>
    <row r="143" spans="1:16" ht="14.1" customHeight="1" x14ac:dyDescent="0.2">
      <c r="A143" s="40" t="s">
        <v>89</v>
      </c>
      <c r="B143" s="41" t="s">
        <v>105</v>
      </c>
      <c r="C143" s="226">
        <v>9126336.0500000007</v>
      </c>
      <c r="D143" s="33">
        <v>9245930.8599999994</v>
      </c>
      <c r="E143" s="33">
        <v>8983150.7100000009</v>
      </c>
      <c r="F143" s="321">
        <f t="shared" si="9"/>
        <v>0.97157883246381982</v>
      </c>
      <c r="G143" s="33">
        <v>8653138.6099999994</v>
      </c>
      <c r="H143" s="321">
        <f t="shared" si="10"/>
        <v>0.93588614721698227</v>
      </c>
      <c r="I143" s="33">
        <v>7995140.3399999999</v>
      </c>
      <c r="J143" s="196">
        <f t="shared" si="11"/>
        <v>0.86471989257336934</v>
      </c>
      <c r="K143" s="460">
        <v>8126781.2999999998</v>
      </c>
      <c r="L143" s="55">
        <v>0.89485214966013149</v>
      </c>
      <c r="M143" s="159">
        <f t="shared" si="13"/>
        <v>-1.6198413017463609E-2</v>
      </c>
    </row>
    <row r="144" spans="1:16" ht="14.1" customHeight="1" x14ac:dyDescent="0.2">
      <c r="A144" s="40" t="s">
        <v>90</v>
      </c>
      <c r="B144" s="41" t="s">
        <v>120</v>
      </c>
      <c r="C144" s="226">
        <v>36104377.189999998</v>
      </c>
      <c r="D144" s="33">
        <v>37764853.350000001</v>
      </c>
      <c r="E144" s="33">
        <v>35167083.869999997</v>
      </c>
      <c r="F144" s="321">
        <f t="shared" si="9"/>
        <v>0.93121198019957352</v>
      </c>
      <c r="G144" s="33">
        <v>33882871.219999999</v>
      </c>
      <c r="H144" s="321">
        <f t="shared" si="10"/>
        <v>0.89720648206886255</v>
      </c>
      <c r="I144" s="33">
        <v>29940605.370000001</v>
      </c>
      <c r="J144" s="196">
        <f t="shared" si="11"/>
        <v>0.79281667248947496</v>
      </c>
      <c r="K144" s="460">
        <v>29348131.870000001</v>
      </c>
      <c r="L144" s="55">
        <v>0.76085922866922162</v>
      </c>
      <c r="M144" s="159">
        <f t="shared" si="13"/>
        <v>2.0187775583959233E-2</v>
      </c>
    </row>
    <row r="145" spans="1:16" ht="14.1" customHeight="1" x14ac:dyDescent="0.2">
      <c r="A145" s="40" t="s">
        <v>91</v>
      </c>
      <c r="B145" s="41" t="s">
        <v>501</v>
      </c>
      <c r="C145" s="226">
        <v>31536030.609999999</v>
      </c>
      <c r="D145" s="33">
        <v>40542686.920000002</v>
      </c>
      <c r="E145" s="33">
        <v>40019347.380000003</v>
      </c>
      <c r="F145" s="321">
        <f t="shared" si="9"/>
        <v>0.98709164143381356</v>
      </c>
      <c r="G145" s="33">
        <v>40018318.390000001</v>
      </c>
      <c r="H145" s="321">
        <f t="shared" si="10"/>
        <v>0.98706626102422124</v>
      </c>
      <c r="I145" s="33">
        <v>38407773.189999998</v>
      </c>
      <c r="J145" s="196">
        <f t="shared" si="11"/>
        <v>0.94734158260865453</v>
      </c>
      <c r="K145" s="460">
        <v>32113419.23</v>
      </c>
      <c r="L145" s="55">
        <v>0.97050352623877179</v>
      </c>
      <c r="M145" s="159">
        <f t="shared" si="13"/>
        <v>0.19600385480347371</v>
      </c>
    </row>
    <row r="146" spans="1:16" ht="14.1" customHeight="1" x14ac:dyDescent="0.2">
      <c r="A146" s="40" t="s">
        <v>92</v>
      </c>
      <c r="B146" s="41" t="s">
        <v>118</v>
      </c>
      <c r="C146" s="226">
        <v>26939471.629999999</v>
      </c>
      <c r="D146" s="33">
        <v>7155444.5099999998</v>
      </c>
      <c r="E146" s="33">
        <v>1204247.73</v>
      </c>
      <c r="F146" s="321">
        <f t="shared" si="9"/>
        <v>0.16829810200009504</v>
      </c>
      <c r="G146" s="33">
        <v>1204247.73</v>
      </c>
      <c r="H146" s="321">
        <f t="shared" si="10"/>
        <v>0.16829810200009504</v>
      </c>
      <c r="I146" s="33">
        <v>1204247.73</v>
      </c>
      <c r="J146" s="196">
        <f t="shared" si="11"/>
        <v>0.16829810200009504</v>
      </c>
      <c r="K146" s="460">
        <v>1682487.48</v>
      </c>
      <c r="L146" s="55">
        <v>0.29220360150973873</v>
      </c>
      <c r="M146" s="159">
        <f t="shared" si="13"/>
        <v>-0.28424565156348147</v>
      </c>
    </row>
    <row r="147" spans="1:16" ht="14.1" customHeight="1" x14ac:dyDescent="0.2">
      <c r="A147" s="40">
        <v>931</v>
      </c>
      <c r="B147" s="41" t="s">
        <v>439</v>
      </c>
      <c r="C147" s="226">
        <v>5447022.2999999998</v>
      </c>
      <c r="D147" s="33">
        <v>5423138.6399999997</v>
      </c>
      <c r="E147" s="33">
        <v>4429272.5199999996</v>
      </c>
      <c r="F147" s="321">
        <f t="shared" si="9"/>
        <v>0.81673599257274376</v>
      </c>
      <c r="G147" s="33">
        <v>4311273.47</v>
      </c>
      <c r="H147" s="321">
        <f t="shared" si="10"/>
        <v>0.79497755012215587</v>
      </c>
      <c r="I147" s="33">
        <v>3958619.81</v>
      </c>
      <c r="J147" s="196">
        <f t="shared" si="11"/>
        <v>0.72994995569576671</v>
      </c>
      <c r="K147" s="460">
        <v>3992033.5</v>
      </c>
      <c r="L147" s="55">
        <v>0.83126293613456703</v>
      </c>
      <c r="M147" s="159">
        <f t="shared" si="13"/>
        <v>-8.3700925856459163E-3</v>
      </c>
    </row>
    <row r="148" spans="1:16" ht="14.1" customHeight="1" x14ac:dyDescent="0.2">
      <c r="A148" s="40" t="s">
        <v>93</v>
      </c>
      <c r="B148" s="41" t="s">
        <v>107</v>
      </c>
      <c r="C148" s="226">
        <v>25093946.690000001</v>
      </c>
      <c r="D148" s="33">
        <v>26853946.850000001</v>
      </c>
      <c r="E148" s="33">
        <v>26804042.329999998</v>
      </c>
      <c r="F148" s="321">
        <f t="shared" si="9"/>
        <v>0.99814163183241711</v>
      </c>
      <c r="G148" s="33">
        <v>26761821.440000001</v>
      </c>
      <c r="H148" s="321">
        <f t="shared" si="10"/>
        <v>0.99656939032036551</v>
      </c>
      <c r="I148" s="33">
        <v>26760825.969999999</v>
      </c>
      <c r="J148" s="196">
        <f t="shared" si="11"/>
        <v>0.99653232053671092</v>
      </c>
      <c r="K148" s="460">
        <v>24388810.530000001</v>
      </c>
      <c r="L148" s="55">
        <v>0.99607150943464051</v>
      </c>
      <c r="M148" s="159">
        <f t="shared" si="13"/>
        <v>9.7258348744898582E-2</v>
      </c>
    </row>
    <row r="149" spans="1:16" ht="14.1" customHeight="1" x14ac:dyDescent="0.2">
      <c r="A149" s="40" t="s">
        <v>94</v>
      </c>
      <c r="B149" s="41" t="s">
        <v>108</v>
      </c>
      <c r="C149" s="226">
        <v>66531326.530000001</v>
      </c>
      <c r="D149" s="33">
        <v>68546874.909999996</v>
      </c>
      <c r="E149" s="33">
        <v>63325653.310000002</v>
      </c>
      <c r="F149" s="321">
        <f t="shared" si="9"/>
        <v>0.92382991045390028</v>
      </c>
      <c r="G149" s="33">
        <v>62477177.060000002</v>
      </c>
      <c r="H149" s="321">
        <f t="shared" si="10"/>
        <v>0.91145186621608454</v>
      </c>
      <c r="I149" s="33">
        <v>47833030.359999999</v>
      </c>
      <c r="J149" s="196">
        <f t="shared" si="11"/>
        <v>0.69781489561418142</v>
      </c>
      <c r="K149" s="460">
        <v>43968269.109999999</v>
      </c>
      <c r="L149" s="55">
        <v>0.75147693056435816</v>
      </c>
      <c r="M149" s="159">
        <f t="shared" si="13"/>
        <v>8.7898871805281331E-2</v>
      </c>
    </row>
    <row r="150" spans="1:16" ht="14.1" customHeight="1" x14ac:dyDescent="0.2">
      <c r="A150" s="40" t="s">
        <v>95</v>
      </c>
      <c r="B150" s="41" t="s">
        <v>117</v>
      </c>
      <c r="C150" s="226">
        <v>732282.55</v>
      </c>
      <c r="D150" s="33">
        <v>915488.47</v>
      </c>
      <c r="E150" s="33">
        <v>731392.35</v>
      </c>
      <c r="F150" s="321">
        <f t="shared" si="9"/>
        <v>0.79890940625390949</v>
      </c>
      <c r="G150" s="33">
        <v>731392.35</v>
      </c>
      <c r="H150" s="321">
        <f t="shared" si="10"/>
        <v>0.79890940625390949</v>
      </c>
      <c r="I150" s="33">
        <v>731392.35</v>
      </c>
      <c r="J150" s="196">
        <f t="shared" si="11"/>
        <v>0.79890940625390949</v>
      </c>
      <c r="K150" s="460">
        <v>701117.69</v>
      </c>
      <c r="L150" s="55">
        <v>0.90708753483064841</v>
      </c>
      <c r="M150" s="159">
        <f t="shared" si="13"/>
        <v>4.3180567872991515E-2</v>
      </c>
    </row>
    <row r="151" spans="1:16" ht="14.1" customHeight="1" x14ac:dyDescent="0.2">
      <c r="A151" s="42" t="s">
        <v>512</v>
      </c>
      <c r="B151" s="43" t="s">
        <v>119</v>
      </c>
      <c r="C151" s="226">
        <v>89097229.569999993</v>
      </c>
      <c r="D151" s="33">
        <v>92018042.969999999</v>
      </c>
      <c r="E151" s="33">
        <v>89097229.569999993</v>
      </c>
      <c r="F151" s="456">
        <f t="shared" si="9"/>
        <v>0.96825825342805583</v>
      </c>
      <c r="G151" s="33">
        <v>89097229.569999993</v>
      </c>
      <c r="H151" s="456">
        <f t="shared" si="10"/>
        <v>0.96825825342805583</v>
      </c>
      <c r="I151" s="33">
        <v>85780411.170000002</v>
      </c>
      <c r="J151" s="458">
        <f t="shared" si="11"/>
        <v>0.9322129486927514</v>
      </c>
      <c r="K151" s="461">
        <v>88687281.840000004</v>
      </c>
      <c r="L151" s="375">
        <v>0.99999305102485248</v>
      </c>
      <c r="M151" s="160">
        <f t="shared" si="13"/>
        <v>-3.2776635044969193E-2</v>
      </c>
      <c r="N151" t="s">
        <v>537</v>
      </c>
    </row>
    <row r="152" spans="1:16" ht="14.1" customHeight="1" thickBot="1" x14ac:dyDescent="0.25">
      <c r="A152" s="18">
        <v>9</v>
      </c>
      <c r="B152" s="2" t="s">
        <v>556</v>
      </c>
      <c r="C152" s="179">
        <f>SUBTOTAL(9,C139:C151)</f>
        <v>382329706.46000004</v>
      </c>
      <c r="D152" s="235">
        <f>SUBTOTAL(9,D139:D151)</f>
        <v>386241433.92999995</v>
      </c>
      <c r="E152" s="230">
        <f>SUBTOTAL(9,E139:E151)</f>
        <v>355032369.49000001</v>
      </c>
      <c r="F152" s="98">
        <f t="shared" si="9"/>
        <v>0.91919804117738424</v>
      </c>
      <c r="G152" s="230">
        <f>SUBTOTAL(9,G139:G151)</f>
        <v>349563018.36000001</v>
      </c>
      <c r="H152" s="98">
        <f t="shared" si="10"/>
        <v>0.90503759475828971</v>
      </c>
      <c r="I152" s="230">
        <f>SUBTOTAL(9,I139:I151)</f>
        <v>321115826.16999996</v>
      </c>
      <c r="J152" s="188">
        <f t="shared" si="11"/>
        <v>0.8313862728362722</v>
      </c>
      <c r="K152" s="230">
        <f>SUBTOTAL(9,K139:K151)</f>
        <v>310894187.60000002</v>
      </c>
      <c r="L152" s="44">
        <v>0.86299999999999999</v>
      </c>
      <c r="M152" s="161">
        <f t="shared" si="13"/>
        <v>3.2878191287227354E-2</v>
      </c>
    </row>
    <row r="153" spans="1:16" s="6" customFormat="1" ht="14.1" customHeight="1" thickBot="1" x14ac:dyDescent="0.25">
      <c r="A153" s="5"/>
      <c r="B153" s="4" t="s">
        <v>130</v>
      </c>
      <c r="C153" s="291">
        <f>SUBTOTAL(9,C82:C151)</f>
        <v>1996110606.45</v>
      </c>
      <c r="D153" s="236">
        <f>SUBTOTAL(9,D82:D151)</f>
        <v>2054972980.8800006</v>
      </c>
      <c r="E153" s="237">
        <f>SUBTOTAL(9,E82:E151)</f>
        <v>1888285292.3799992</v>
      </c>
      <c r="F153" s="199">
        <f>+E153/D153</f>
        <v>0.91888570309638773</v>
      </c>
      <c r="G153" s="237">
        <f>SUBTOTAL(9,G82:G151)</f>
        <v>1873582090.2499998</v>
      </c>
      <c r="H153" s="199">
        <f>+G153/D153</f>
        <v>0.91173076613770176</v>
      </c>
      <c r="I153" s="237">
        <f>SUBTOTAL(9,I82:I151)</f>
        <v>1684240737.4199998</v>
      </c>
      <c r="J153" s="191">
        <f>+I153/D153</f>
        <v>0.81959264335376214</v>
      </c>
      <c r="K153" s="231">
        <f>SUBTOTAL(9,K82:K152)</f>
        <v>1593100429.7399998</v>
      </c>
      <c r="L153" s="208">
        <v>0.83199999999999996</v>
      </c>
      <c r="M153" s="163">
        <f>+I153/K153-1</f>
        <v>5.720939243916634E-2</v>
      </c>
      <c r="O153" s="295"/>
    </row>
    <row r="154" spans="1:16" s="313" customFormat="1" ht="14.1" customHeight="1" x14ac:dyDescent="0.2">
      <c r="A154" s="285"/>
      <c r="B154" s="310"/>
      <c r="C154" s="311"/>
      <c r="D154" s="311"/>
      <c r="E154" s="311"/>
      <c r="F154" s="312"/>
      <c r="G154" s="311"/>
      <c r="H154" s="312"/>
      <c r="I154" s="311"/>
      <c r="J154" s="312"/>
      <c r="K154" s="311"/>
      <c r="L154" s="312"/>
      <c r="M154" s="312"/>
      <c r="O154" s="314"/>
      <c r="P154" s="315"/>
    </row>
    <row r="159" spans="1:16" x14ac:dyDescent="0.2">
      <c r="C159" s="403"/>
      <c r="D159" s="403"/>
      <c r="E159" s="403"/>
      <c r="F159" s="457"/>
      <c r="G159" s="403"/>
      <c r="H159" s="457"/>
      <c r="I159" s="403"/>
      <c r="J159" s="457"/>
    </row>
    <row r="161" spans="3:3" x14ac:dyDescent="0.2">
      <c r="C161" s="408"/>
    </row>
  </sheetData>
  <mergeCells count="5">
    <mergeCell ref="K2:L2"/>
    <mergeCell ref="K79:L79"/>
    <mergeCell ref="D2:J2"/>
    <mergeCell ref="A79:B79"/>
    <mergeCell ref="D79:J79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57" fitToHeight="0" orientation="portrait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77" max="16383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opLeftCell="B1" zoomScaleNormal="100" workbookViewId="0">
      <selection activeCell="K20" sqref="K20"/>
    </sheetView>
  </sheetViews>
  <sheetFormatPr defaultColWidth="11.42578125" defaultRowHeight="12.75" x14ac:dyDescent="0.2"/>
  <cols>
    <col min="1" max="1" width="6.85546875" customWidth="1"/>
    <col min="2" max="2" width="43.7109375" bestFit="1" customWidth="1"/>
    <col min="3" max="5" width="12.7109375" customWidth="1"/>
    <col min="6" max="6" width="6.7109375" style="105" customWidth="1"/>
    <col min="7" max="7" width="12.7109375" customWidth="1"/>
    <col min="8" max="8" width="6.7109375" style="105" customWidth="1"/>
    <col min="9" max="9" width="12.7109375" customWidth="1"/>
    <col min="10" max="10" width="6.7109375" style="105" customWidth="1"/>
    <col min="11" max="11" width="15.42578125" bestFit="1" customWidth="1"/>
    <col min="12" max="12" width="6" style="105" bestFit="1" customWidth="1"/>
    <col min="13" max="13" width="51.85546875" style="105" customWidth="1"/>
    <col min="14" max="14" width="16.5703125" bestFit="1" customWidth="1"/>
    <col min="15" max="15" width="20.42578125" style="294" bestFit="1" customWidth="1"/>
    <col min="16" max="18" width="15.5703125" bestFit="1" customWidth="1"/>
  </cols>
  <sheetData>
    <row r="1" spans="1:15" ht="15" customHeight="1" x14ac:dyDescent="0.25">
      <c r="A1" s="551" t="s">
        <v>19</v>
      </c>
      <c r="K1" s="105"/>
    </row>
    <row r="2" spans="1:15" ht="12.75" customHeight="1" x14ac:dyDescent="0.25">
      <c r="A2" s="552" t="s">
        <v>440</v>
      </c>
      <c r="F2"/>
      <c r="H2"/>
      <c r="J2"/>
      <c r="L2"/>
      <c r="M2"/>
      <c r="O2"/>
    </row>
    <row r="3" spans="1:15" ht="12.75" customHeight="1" x14ac:dyDescent="0.25">
      <c r="A3" s="552" t="s">
        <v>458</v>
      </c>
      <c r="F3"/>
      <c r="H3"/>
      <c r="J3"/>
      <c r="L3"/>
      <c r="M3"/>
      <c r="O3"/>
    </row>
    <row r="4" spans="1:15" ht="14.1" customHeight="1" x14ac:dyDescent="0.2">
      <c r="F4"/>
      <c r="H4"/>
      <c r="J4"/>
      <c r="L4"/>
      <c r="M4"/>
      <c r="O4"/>
    </row>
    <row r="5" spans="1:15" ht="14.1" customHeight="1" x14ac:dyDescent="0.2">
      <c r="F5"/>
      <c r="H5"/>
      <c r="J5"/>
      <c r="L5"/>
      <c r="M5"/>
      <c r="O5"/>
    </row>
    <row r="6" spans="1:15" ht="14.1" customHeight="1" x14ac:dyDescent="0.2">
      <c r="F6"/>
      <c r="H6"/>
      <c r="J6"/>
      <c r="L6"/>
      <c r="M6"/>
      <c r="O6"/>
    </row>
    <row r="7" spans="1:15" ht="14.1" customHeight="1" x14ac:dyDescent="0.2">
      <c r="F7"/>
      <c r="H7"/>
      <c r="J7"/>
      <c r="L7"/>
      <c r="M7"/>
      <c r="O7"/>
    </row>
    <row r="8" spans="1:15" ht="14.1" customHeight="1" x14ac:dyDescent="0.2">
      <c r="F8"/>
      <c r="H8"/>
      <c r="J8"/>
      <c r="L8"/>
      <c r="M8"/>
      <c r="O8"/>
    </row>
    <row r="9" spans="1:15" ht="14.1" customHeight="1" x14ac:dyDescent="0.2">
      <c r="F9"/>
      <c r="H9"/>
      <c r="J9"/>
      <c r="L9"/>
      <c r="M9"/>
      <c r="O9"/>
    </row>
    <row r="10" spans="1:15" ht="14.1" customHeight="1" x14ac:dyDescent="0.2">
      <c r="F10"/>
      <c r="H10"/>
      <c r="J10"/>
      <c r="L10"/>
      <c r="M10"/>
      <c r="O10"/>
    </row>
    <row r="11" spans="1:15" ht="14.1" customHeight="1" x14ac:dyDescent="0.2">
      <c r="F11"/>
      <c r="H11"/>
      <c r="J11"/>
      <c r="L11"/>
      <c r="M11"/>
      <c r="O11"/>
    </row>
    <row r="12" spans="1:15" ht="14.1" customHeight="1" x14ac:dyDescent="0.2">
      <c r="F12"/>
      <c r="H12"/>
      <c r="J12"/>
      <c r="L12"/>
      <c r="M12"/>
      <c r="O12"/>
    </row>
    <row r="13" spans="1:15" ht="14.1" customHeight="1" x14ac:dyDescent="0.2">
      <c r="F13"/>
      <c r="H13"/>
      <c r="J13"/>
      <c r="L13"/>
      <c r="M13"/>
      <c r="O13"/>
    </row>
    <row r="14" spans="1:15" ht="14.1" customHeight="1" x14ac:dyDescent="0.2">
      <c r="F14"/>
      <c r="H14"/>
      <c r="J14"/>
      <c r="L14"/>
      <c r="M14"/>
      <c r="O14"/>
    </row>
    <row r="15" spans="1:15" ht="14.1" customHeight="1" x14ac:dyDescent="0.2">
      <c r="F15"/>
      <c r="H15"/>
      <c r="J15"/>
      <c r="L15"/>
      <c r="M15"/>
      <c r="O15"/>
    </row>
    <row r="16" spans="1:15" ht="14.1" customHeight="1" x14ac:dyDescent="0.2">
      <c r="F16"/>
      <c r="H16"/>
      <c r="J16"/>
      <c r="L16"/>
      <c r="M16"/>
      <c r="O16"/>
    </row>
    <row r="17" spans="1:15" ht="14.1" customHeight="1" x14ac:dyDescent="0.2">
      <c r="F17"/>
      <c r="H17"/>
      <c r="J17"/>
      <c r="L17"/>
      <c r="M17"/>
      <c r="O17"/>
    </row>
    <row r="18" spans="1:15" ht="14.1" customHeight="1" x14ac:dyDescent="0.2">
      <c r="F18"/>
      <c r="H18"/>
      <c r="J18"/>
      <c r="L18"/>
      <c r="M18"/>
      <c r="O18"/>
    </row>
    <row r="19" spans="1:15" ht="14.1" customHeight="1" x14ac:dyDescent="0.2">
      <c r="F19"/>
      <c r="H19"/>
      <c r="J19"/>
      <c r="L19"/>
      <c r="M19"/>
      <c r="O19"/>
    </row>
    <row r="20" spans="1:15" ht="14.1" customHeight="1" x14ac:dyDescent="0.2">
      <c r="F20"/>
      <c r="H20"/>
      <c r="J20"/>
      <c r="L20"/>
      <c r="M20"/>
      <c r="O20"/>
    </row>
    <row r="21" spans="1:15" ht="14.1" customHeight="1" x14ac:dyDescent="0.2">
      <c r="F21"/>
      <c r="H21"/>
      <c r="J21"/>
      <c r="L21"/>
      <c r="M21"/>
      <c r="O21"/>
    </row>
    <row r="22" spans="1:15" ht="14.1" customHeight="1" x14ac:dyDescent="0.2">
      <c r="F22"/>
      <c r="H22"/>
      <c r="J22"/>
      <c r="L22"/>
      <c r="M22"/>
      <c r="O22"/>
    </row>
    <row r="23" spans="1:15" ht="14.1" customHeight="1" x14ac:dyDescent="0.2">
      <c r="F23"/>
      <c r="H23"/>
      <c r="J23"/>
      <c r="L23"/>
      <c r="M23"/>
      <c r="O23"/>
    </row>
    <row r="24" spans="1:15" ht="14.1" customHeight="1" x14ac:dyDescent="0.2">
      <c r="F24"/>
      <c r="H24"/>
      <c r="J24"/>
      <c r="L24"/>
      <c r="M24"/>
      <c r="O24"/>
    </row>
    <row r="25" spans="1:15" ht="14.1" customHeight="1" x14ac:dyDescent="0.2">
      <c r="F25"/>
      <c r="H25"/>
      <c r="J25"/>
      <c r="L25"/>
      <c r="M25"/>
      <c r="O25"/>
    </row>
    <row r="26" spans="1:15" ht="14.1" customHeight="1" x14ac:dyDescent="0.2">
      <c r="F26"/>
      <c r="H26"/>
      <c r="J26"/>
      <c r="L26"/>
      <c r="M26"/>
      <c r="O26"/>
    </row>
    <row r="27" spans="1:15" ht="14.1" customHeight="1" x14ac:dyDescent="0.2">
      <c r="F27"/>
      <c r="H27"/>
      <c r="J27"/>
      <c r="L27"/>
      <c r="M27"/>
      <c r="O27"/>
    </row>
    <row r="28" spans="1:15" ht="14.1" customHeight="1" x14ac:dyDescent="0.2">
      <c r="F28"/>
      <c r="H28"/>
      <c r="J28"/>
      <c r="L28"/>
      <c r="M28"/>
      <c r="O28"/>
    </row>
    <row r="29" spans="1:15" ht="14.1" customHeight="1" x14ac:dyDescent="0.25">
      <c r="A29" s="552" t="s">
        <v>19</v>
      </c>
      <c r="B29" s="553"/>
      <c r="F29"/>
      <c r="H29"/>
      <c r="J29"/>
      <c r="L29"/>
      <c r="M29"/>
      <c r="O29"/>
    </row>
    <row r="30" spans="1:15" ht="14.1" customHeight="1" x14ac:dyDescent="0.25">
      <c r="A30" s="607" t="s">
        <v>477</v>
      </c>
      <c r="B30" s="608"/>
      <c r="C30" s="390"/>
      <c r="F30"/>
      <c r="H30"/>
      <c r="J30"/>
      <c r="L30"/>
      <c r="M30"/>
      <c r="O30"/>
    </row>
    <row r="31" spans="1:15" ht="14.1" customHeight="1" x14ac:dyDescent="0.2">
      <c r="F31"/>
      <c r="H31"/>
      <c r="J31"/>
      <c r="L31"/>
      <c r="M31"/>
      <c r="O31"/>
    </row>
    <row r="32" spans="1:15" ht="14.1" customHeight="1" x14ac:dyDescent="0.2">
      <c r="F32"/>
      <c r="H32"/>
      <c r="J32"/>
      <c r="L32"/>
      <c r="M32"/>
      <c r="O32"/>
    </row>
    <row r="33" spans="1:16" ht="14.1" customHeight="1" x14ac:dyDescent="0.2">
      <c r="F33"/>
      <c r="H33"/>
      <c r="J33"/>
      <c r="L33"/>
      <c r="M33"/>
      <c r="O33"/>
    </row>
    <row r="34" spans="1:16" ht="14.1" customHeight="1" x14ac:dyDescent="0.2">
      <c r="F34"/>
      <c r="H34"/>
      <c r="J34"/>
      <c r="L34"/>
      <c r="M34"/>
      <c r="O34"/>
    </row>
    <row r="35" spans="1:16" s="313" customFormat="1" ht="351" customHeight="1" x14ac:dyDescent="0.2">
      <c r="A35" s="285"/>
      <c r="B35" s="310"/>
      <c r="C35" s="311"/>
      <c r="D35" s="311"/>
      <c r="E35" s="311"/>
      <c r="F35" s="312"/>
      <c r="G35" s="311"/>
      <c r="H35" s="312"/>
      <c r="I35" s="311"/>
      <c r="J35" s="312"/>
      <c r="K35" s="311"/>
      <c r="L35" s="312"/>
      <c r="M35" s="312"/>
      <c r="O35" s="314"/>
      <c r="P35" s="315"/>
    </row>
  </sheetData>
  <mergeCells count="1">
    <mergeCell ref="A30:B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Width="0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64"/>
  <sheetViews>
    <sheetView zoomScaleNormal="100" workbookViewId="0">
      <selection activeCell="D57" sqref="D57"/>
    </sheetView>
  </sheetViews>
  <sheetFormatPr defaultColWidth="11.42578125" defaultRowHeight="12.75" x14ac:dyDescent="0.2"/>
  <cols>
    <col min="1" max="1" width="4.140625" customWidth="1"/>
    <col min="2" max="2" width="31.85546875" bestFit="1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1:13" ht="15.75" thickBot="1" x14ac:dyDescent="0.3">
      <c r="A1" s="7" t="s">
        <v>19</v>
      </c>
    </row>
    <row r="2" spans="1:13" x14ac:dyDescent="0.2">
      <c r="A2" s="8" t="s">
        <v>21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96" t="s">
        <v>37</v>
      </c>
      <c r="I3" s="95">
        <v>5</v>
      </c>
      <c r="J3" s="166" t="s">
        <v>38</v>
      </c>
      <c r="K3" s="95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22</v>
      </c>
      <c r="C4" s="175" t="s">
        <v>13</v>
      </c>
      <c r="D4" s="127" t="s">
        <v>14</v>
      </c>
      <c r="E4" s="97" t="s">
        <v>15</v>
      </c>
      <c r="F4" s="97" t="s">
        <v>18</v>
      </c>
      <c r="G4" s="97" t="s">
        <v>16</v>
      </c>
      <c r="H4" s="97" t="s">
        <v>18</v>
      </c>
      <c r="I4" s="97" t="s">
        <v>17</v>
      </c>
      <c r="J4" s="128" t="s">
        <v>18</v>
      </c>
      <c r="K4" s="97" t="s">
        <v>17</v>
      </c>
      <c r="L4" s="12" t="s">
        <v>18</v>
      </c>
      <c r="M4" s="157" t="s">
        <v>516</v>
      </c>
    </row>
    <row r="5" spans="1:13" ht="15" customHeight="1" x14ac:dyDescent="0.2">
      <c r="A5" s="30">
        <v>1</v>
      </c>
      <c r="B5" s="21" t="s">
        <v>567</v>
      </c>
      <c r="C5" s="226">
        <v>187615066.34</v>
      </c>
      <c r="D5" s="232">
        <v>202709103.12</v>
      </c>
      <c r="E5" s="31">
        <v>184062797.72</v>
      </c>
      <c r="F5" s="49">
        <f t="shared" ref="F5:F15" si="0">+E5/D5</f>
        <v>0.9080144645060082</v>
      </c>
      <c r="G5" s="31">
        <v>178761472.00999999</v>
      </c>
      <c r="H5" s="49">
        <f t="shared" ref="H5:H15" si="1">+G5/D5</f>
        <v>0.88186208344169204</v>
      </c>
      <c r="I5" s="31">
        <v>162950532.03</v>
      </c>
      <c r="J5" s="170">
        <f t="shared" ref="J5:J15" si="2">+I5/D5</f>
        <v>0.80386390902995775</v>
      </c>
      <c r="K5" s="31">
        <v>164654392.87</v>
      </c>
      <c r="L5" s="53">
        <v>0.81919228262224253</v>
      </c>
      <c r="M5" s="158">
        <f t="shared" ref="M5:M15" si="3">+I5/K5-1</f>
        <v>-1.0348104355437759E-2</v>
      </c>
    </row>
    <row r="6" spans="1:13" ht="15" customHeight="1" x14ac:dyDescent="0.2">
      <c r="A6" s="32">
        <v>2</v>
      </c>
      <c r="B6" s="23" t="s">
        <v>568</v>
      </c>
      <c r="C6" s="226">
        <v>205332965.00999999</v>
      </c>
      <c r="D6" s="232">
        <v>242774288.25</v>
      </c>
      <c r="E6" s="31">
        <v>224719073.87</v>
      </c>
      <c r="F6" s="49">
        <f t="shared" si="0"/>
        <v>0.92562962696689111</v>
      </c>
      <c r="G6" s="31">
        <v>222147339.96000001</v>
      </c>
      <c r="H6" s="321">
        <f t="shared" si="1"/>
        <v>0.91503652038819239</v>
      </c>
      <c r="I6" s="31">
        <v>199330724</v>
      </c>
      <c r="J6" s="196">
        <f t="shared" si="2"/>
        <v>0.82105368503742282</v>
      </c>
      <c r="K6" s="31">
        <v>169753984.84999999</v>
      </c>
      <c r="L6" s="53">
        <v>0.86120842679942156</v>
      </c>
      <c r="M6" s="159">
        <f t="shared" si="3"/>
        <v>0.17423295939788952</v>
      </c>
    </row>
    <row r="7" spans="1:13" ht="15" customHeight="1" x14ac:dyDescent="0.2">
      <c r="A7" s="32">
        <v>4</v>
      </c>
      <c r="B7" s="23" t="s">
        <v>569</v>
      </c>
      <c r="C7" s="226">
        <v>246207865.18000001</v>
      </c>
      <c r="D7" s="232">
        <v>251180545.06999999</v>
      </c>
      <c r="E7" s="31">
        <v>224675885.53</v>
      </c>
      <c r="F7" s="49">
        <f t="shared" si="0"/>
        <v>0.89447964796551593</v>
      </c>
      <c r="G7" s="31">
        <v>223010226.34</v>
      </c>
      <c r="H7" s="321">
        <f t="shared" si="1"/>
        <v>0.88784832550566617</v>
      </c>
      <c r="I7" s="31">
        <v>208435050.78999999</v>
      </c>
      <c r="J7" s="196">
        <f t="shared" si="2"/>
        <v>0.82982163579552903</v>
      </c>
      <c r="K7" s="31">
        <v>206362473.90000001</v>
      </c>
      <c r="L7" s="53">
        <v>0.83046594401740614</v>
      </c>
      <c r="M7" s="159">
        <f t="shared" si="3"/>
        <v>1.0043380711767913E-2</v>
      </c>
    </row>
    <row r="8" spans="1:13" ht="15" customHeight="1" x14ac:dyDescent="0.2">
      <c r="A8" s="148" t="s">
        <v>422</v>
      </c>
      <c r="B8" s="23" t="s">
        <v>570</v>
      </c>
      <c r="C8" s="226">
        <v>50069128.450000003</v>
      </c>
      <c r="D8" s="232">
        <v>80538973.719999999</v>
      </c>
      <c r="E8" s="31">
        <v>65422752.5</v>
      </c>
      <c r="F8" s="49">
        <f t="shared" si="0"/>
        <v>0.81231172286162079</v>
      </c>
      <c r="G8" s="31">
        <v>64942138.509999998</v>
      </c>
      <c r="H8" s="321">
        <f t="shared" si="1"/>
        <v>0.80634425186216541</v>
      </c>
      <c r="I8" s="31">
        <v>54952039.729999997</v>
      </c>
      <c r="J8" s="196">
        <f t="shared" si="2"/>
        <v>0.68230369958580595</v>
      </c>
      <c r="K8" s="31">
        <v>46555338.009999998</v>
      </c>
      <c r="L8" s="53">
        <v>0.49059662539910326</v>
      </c>
      <c r="M8" s="269">
        <f t="shared" si="3"/>
        <v>0.18035959094951481</v>
      </c>
    </row>
    <row r="9" spans="1:13" ht="15" customHeight="1" x14ac:dyDescent="0.2">
      <c r="A9" s="148" t="s">
        <v>421</v>
      </c>
      <c r="B9" s="23" t="s">
        <v>571</v>
      </c>
      <c r="C9" s="226">
        <v>310628104.75999999</v>
      </c>
      <c r="D9" s="232">
        <v>310691679.38999999</v>
      </c>
      <c r="E9" s="31">
        <v>307498137.24000001</v>
      </c>
      <c r="F9" s="49">
        <f t="shared" si="0"/>
        <v>0.98972118546505639</v>
      </c>
      <c r="G9" s="31">
        <v>307369462.72000003</v>
      </c>
      <c r="H9" s="321">
        <f t="shared" si="1"/>
        <v>0.98930703044084523</v>
      </c>
      <c r="I9" s="31">
        <v>240289374.46000001</v>
      </c>
      <c r="J9" s="196">
        <f t="shared" si="2"/>
        <v>0.77340138278493609</v>
      </c>
      <c r="K9" s="31">
        <v>243484841.65000001</v>
      </c>
      <c r="L9" s="53">
        <v>0.79547581238837273</v>
      </c>
      <c r="M9" s="158">
        <f t="shared" si="3"/>
        <v>-1.3123885529569668E-2</v>
      </c>
    </row>
    <row r="10" spans="1:13" ht="15" customHeight="1" x14ac:dyDescent="0.2">
      <c r="A10" s="148" t="s">
        <v>447</v>
      </c>
      <c r="B10" s="23" t="s">
        <v>572</v>
      </c>
      <c r="C10" s="226">
        <v>6604592.1299999999</v>
      </c>
      <c r="D10" s="232">
        <v>5646313.8799999999</v>
      </c>
      <c r="E10" s="31">
        <v>5304882.8600000003</v>
      </c>
      <c r="F10" s="49">
        <f t="shared" si="0"/>
        <v>0.93953027988589266</v>
      </c>
      <c r="G10" s="31">
        <v>5272840.1399999997</v>
      </c>
      <c r="H10" s="321">
        <f t="shared" si="1"/>
        <v>0.93385529959237756</v>
      </c>
      <c r="I10" s="31">
        <v>3834296.18</v>
      </c>
      <c r="J10" s="196">
        <f t="shared" si="2"/>
        <v>0.67907953073271232</v>
      </c>
      <c r="K10" s="150">
        <v>4115377.66</v>
      </c>
      <c r="L10" s="55">
        <v>0.60127417928229654</v>
      </c>
      <c r="M10" s="159">
        <f t="shared" si="3"/>
        <v>-6.8300288144150567E-2</v>
      </c>
    </row>
    <row r="11" spans="1:13" ht="15" customHeight="1" x14ac:dyDescent="0.2">
      <c r="A11" s="148" t="s">
        <v>452</v>
      </c>
      <c r="B11" s="23" t="s">
        <v>573</v>
      </c>
      <c r="C11" s="226">
        <v>56634642.350000001</v>
      </c>
      <c r="D11" s="232">
        <v>61509006.200000003</v>
      </c>
      <c r="E11" s="31">
        <v>60685917.060000002</v>
      </c>
      <c r="F11" s="49">
        <f t="shared" si="0"/>
        <v>0.98661839638046367</v>
      </c>
      <c r="G11" s="31">
        <v>60125668.960000001</v>
      </c>
      <c r="H11" s="321">
        <f t="shared" si="1"/>
        <v>0.97751000503077545</v>
      </c>
      <c r="I11" s="31">
        <v>46734736.789999999</v>
      </c>
      <c r="J11" s="196">
        <f t="shared" si="2"/>
        <v>0.75980315204637461</v>
      </c>
      <c r="K11" s="150">
        <v>37563781.270000003</v>
      </c>
      <c r="L11" s="55">
        <v>0.75388628898869958</v>
      </c>
      <c r="M11" s="159">
        <f t="shared" si="3"/>
        <v>0.24414356622090927</v>
      </c>
    </row>
    <row r="12" spans="1:13" ht="15" customHeight="1" x14ac:dyDescent="0.2">
      <c r="A12" s="32" t="s">
        <v>574</v>
      </c>
      <c r="B12" s="23" t="s">
        <v>576</v>
      </c>
      <c r="C12" s="226">
        <v>49393185.259999998</v>
      </c>
      <c r="D12" s="232">
        <v>89272166.609999999</v>
      </c>
      <c r="E12" s="31">
        <v>71087645.099999994</v>
      </c>
      <c r="F12" s="49">
        <f t="shared" si="0"/>
        <v>0.79630245125065635</v>
      </c>
      <c r="G12" s="31">
        <v>70878885.739999995</v>
      </c>
      <c r="H12" s="321">
        <f t="shared" si="1"/>
        <v>0.79396399159489373</v>
      </c>
      <c r="I12" s="31">
        <v>62360883.990000002</v>
      </c>
      <c r="J12" s="196">
        <f t="shared" si="2"/>
        <v>0.69854789413181473</v>
      </c>
      <c r="K12" s="150">
        <v>29431892.890000001</v>
      </c>
      <c r="L12" s="55">
        <f>+K12/31854797.59</f>
        <v>0.92393909604496727</v>
      </c>
      <c r="M12" s="159">
        <f t="shared" si="3"/>
        <v>1.1188200236753443</v>
      </c>
    </row>
    <row r="13" spans="1:13" ht="15" customHeight="1" x14ac:dyDescent="0.2">
      <c r="A13" s="34" t="s">
        <v>575</v>
      </c>
      <c r="B13" s="25" t="s">
        <v>577</v>
      </c>
      <c r="C13" s="226">
        <v>79765291.079999998</v>
      </c>
      <c r="D13" s="232">
        <v>72652459.859999999</v>
      </c>
      <c r="E13" s="31">
        <v>67803457.900000006</v>
      </c>
      <c r="F13" s="49">
        <f t="shared" si="0"/>
        <v>0.93325756664889348</v>
      </c>
      <c r="G13" s="31">
        <v>66035160.93</v>
      </c>
      <c r="H13" s="321">
        <f t="shared" si="1"/>
        <v>0.9089184462198332</v>
      </c>
      <c r="I13" s="31">
        <v>61772912</v>
      </c>
      <c r="J13" s="196">
        <f t="shared" si="2"/>
        <v>0.85025217479264026</v>
      </c>
      <c r="K13" s="150">
        <v>55261968.170000002</v>
      </c>
      <c r="L13" s="55">
        <f>+K13/70078623.4</f>
        <v>0.78857097198630188</v>
      </c>
      <c r="M13" s="159">
        <f t="shared" si="3"/>
        <v>0.11781961529076668</v>
      </c>
    </row>
    <row r="14" spans="1:13" ht="15" customHeight="1" x14ac:dyDescent="0.2">
      <c r="A14" s="34" t="s">
        <v>423</v>
      </c>
      <c r="B14" s="25" t="s">
        <v>23</v>
      </c>
      <c r="C14" s="226">
        <v>839696804.13</v>
      </c>
      <c r="D14" s="232">
        <v>826842184.17999995</v>
      </c>
      <c r="E14" s="31">
        <v>695614268.51999998</v>
      </c>
      <c r="F14" s="49">
        <f t="shared" si="0"/>
        <v>0.84129025082320641</v>
      </c>
      <c r="G14" s="31">
        <v>695614268.51999998</v>
      </c>
      <c r="H14" s="456">
        <f t="shared" si="1"/>
        <v>0.84129025082320641</v>
      </c>
      <c r="I14" s="31">
        <v>663450152.98000002</v>
      </c>
      <c r="J14" s="458">
        <f t="shared" si="2"/>
        <v>0.80239030576065751</v>
      </c>
      <c r="K14" s="33">
        <v>632928373.76999998</v>
      </c>
      <c r="L14" s="55">
        <v>0.66796500143013993</v>
      </c>
      <c r="M14" s="159">
        <f t="shared" si="3"/>
        <v>4.8223117298721974E-2</v>
      </c>
    </row>
    <row r="15" spans="1:13" ht="15" customHeight="1" x14ac:dyDescent="0.2">
      <c r="A15" s="32">
        <v>8</v>
      </c>
      <c r="B15" s="23" t="s">
        <v>578</v>
      </c>
      <c r="C15" s="226">
        <v>215141158.63</v>
      </c>
      <c r="D15" s="232">
        <v>226757712.78</v>
      </c>
      <c r="E15" s="31">
        <v>224351576.05000001</v>
      </c>
      <c r="F15" s="49">
        <f t="shared" si="0"/>
        <v>0.98938895307903185</v>
      </c>
      <c r="G15" s="31">
        <v>224351576.05000001</v>
      </c>
      <c r="H15" s="321">
        <f t="shared" si="1"/>
        <v>0.98938895307903185</v>
      </c>
      <c r="I15" s="31">
        <v>223545911.61000001</v>
      </c>
      <c r="J15" s="196">
        <f t="shared" si="2"/>
        <v>0.98583597827556113</v>
      </c>
      <c r="K15" s="33">
        <v>208511874.30000001</v>
      </c>
      <c r="L15" s="55">
        <v>0.98053514859685853</v>
      </c>
      <c r="M15" s="159">
        <f t="shared" si="3"/>
        <v>7.2101588269114725E-2</v>
      </c>
    </row>
    <row r="16" spans="1:13" ht="15" customHeight="1" x14ac:dyDescent="0.2">
      <c r="A16" s="9"/>
      <c r="B16" s="2" t="s">
        <v>24</v>
      </c>
      <c r="C16" s="228">
        <f>SUM(C5:C15)</f>
        <v>2247088803.3200002</v>
      </c>
      <c r="D16" s="235">
        <f>SUM(D5:D15)</f>
        <v>2370574433.0600004</v>
      </c>
      <c r="E16" s="230">
        <f>SUM(E5:E15)</f>
        <v>2131226394.3499999</v>
      </c>
      <c r="F16" s="98">
        <f t="shared" ref="F16:F28" si="4">+E16/D16</f>
        <v>0.89903373824839417</v>
      </c>
      <c r="G16" s="230">
        <f>SUM(G5:G15)</f>
        <v>2118509039.8800001</v>
      </c>
      <c r="H16" s="98">
        <f t="shared" ref="H16:H28" si="5">+G16/D16</f>
        <v>0.89366906617033426</v>
      </c>
      <c r="I16" s="230">
        <f>SUM(I5:I15)</f>
        <v>1927656614.5599999</v>
      </c>
      <c r="J16" s="188">
        <f t="shared" ref="J16:J28" si="6">+I16/D16</f>
        <v>0.81316013016799882</v>
      </c>
      <c r="K16" s="230">
        <f>SUM(K5:K15)</f>
        <v>1798624299.3399999</v>
      </c>
      <c r="L16" s="44">
        <v>0.76</v>
      </c>
      <c r="M16" s="161">
        <f t="shared" ref="M16:M28" si="7">+I16/K16-1</f>
        <v>7.1739448459218647E-2</v>
      </c>
    </row>
    <row r="17" spans="1:15" ht="15" customHeight="1" x14ac:dyDescent="0.2">
      <c r="A17" s="30">
        <v>1</v>
      </c>
      <c r="B17" s="21" t="s">
        <v>25</v>
      </c>
      <c r="C17" s="226">
        <v>45622302.869999997</v>
      </c>
      <c r="D17" s="232">
        <v>47341715.740000002</v>
      </c>
      <c r="E17" s="31">
        <v>46235199.950000003</v>
      </c>
      <c r="F17" s="49">
        <f t="shared" si="4"/>
        <v>0.97662704503408859</v>
      </c>
      <c r="G17" s="31">
        <v>45996274.600000001</v>
      </c>
      <c r="H17" s="49">
        <f t="shared" si="5"/>
        <v>0.97158022012997702</v>
      </c>
      <c r="I17" s="31">
        <v>37799276.759999998</v>
      </c>
      <c r="J17" s="170">
        <f t="shared" si="6"/>
        <v>0.79843487227191057</v>
      </c>
      <c r="K17" s="31">
        <v>37870466.810000002</v>
      </c>
      <c r="L17" s="53">
        <v>0.78805736237912516</v>
      </c>
      <c r="M17" s="158">
        <f t="shared" si="7"/>
        <v>-1.8798302740014039E-3</v>
      </c>
    </row>
    <row r="18" spans="1:15" ht="15" customHeight="1" x14ac:dyDescent="0.2">
      <c r="A18" s="32">
        <v>2</v>
      </c>
      <c r="B18" s="23" t="s">
        <v>26</v>
      </c>
      <c r="C18" s="226">
        <v>39657006.960000001</v>
      </c>
      <c r="D18" s="232">
        <v>41950203.079999998</v>
      </c>
      <c r="E18" s="31">
        <v>41086331.609999999</v>
      </c>
      <c r="F18" s="321">
        <f t="shared" si="4"/>
        <v>0.97940721601865488</v>
      </c>
      <c r="G18" s="31">
        <v>40534416.990000002</v>
      </c>
      <c r="H18" s="321">
        <f t="shared" si="5"/>
        <v>0.96625079293895055</v>
      </c>
      <c r="I18" s="31">
        <v>34133160.369999997</v>
      </c>
      <c r="J18" s="196">
        <f t="shared" si="6"/>
        <v>0.81365900195780405</v>
      </c>
      <c r="K18" s="33">
        <v>32966295.489999998</v>
      </c>
      <c r="L18" s="55">
        <v>0.79712467683954913</v>
      </c>
      <c r="M18" s="159">
        <f t="shared" si="7"/>
        <v>3.5395693166493603E-2</v>
      </c>
    </row>
    <row r="19" spans="1:15" ht="15" customHeight="1" x14ac:dyDescent="0.2">
      <c r="A19" s="36">
        <v>3</v>
      </c>
      <c r="B19" s="23" t="s">
        <v>27</v>
      </c>
      <c r="C19" s="226">
        <v>33818767.32</v>
      </c>
      <c r="D19" s="232">
        <v>37683845.82</v>
      </c>
      <c r="E19" s="31">
        <v>36363671.770000003</v>
      </c>
      <c r="F19" s="321">
        <f t="shared" si="4"/>
        <v>0.9649671093469091</v>
      </c>
      <c r="G19" s="31">
        <v>35801413.119999997</v>
      </c>
      <c r="H19" s="321">
        <f t="shared" si="5"/>
        <v>0.95004669350916049</v>
      </c>
      <c r="I19" s="31">
        <v>29466247.420000002</v>
      </c>
      <c r="J19" s="196">
        <f t="shared" si="6"/>
        <v>0.78193312754616295</v>
      </c>
      <c r="K19" s="33">
        <v>27247394.940000001</v>
      </c>
      <c r="L19" s="55">
        <v>0.74370957453408204</v>
      </c>
      <c r="M19" s="159">
        <f t="shared" si="7"/>
        <v>8.1433564011752946E-2</v>
      </c>
    </row>
    <row r="20" spans="1:15" ht="15" customHeight="1" x14ac:dyDescent="0.2">
      <c r="A20" s="36">
        <v>4</v>
      </c>
      <c r="B20" s="23" t="s">
        <v>28</v>
      </c>
      <c r="C20" s="226">
        <v>15446559.359999999</v>
      </c>
      <c r="D20" s="232">
        <v>17802329.52</v>
      </c>
      <c r="E20" s="31">
        <v>17019968.059999999</v>
      </c>
      <c r="F20" s="321">
        <f t="shared" si="4"/>
        <v>0.95605286043486282</v>
      </c>
      <c r="G20" s="31">
        <v>16704077.66</v>
      </c>
      <c r="H20" s="321">
        <f t="shared" si="5"/>
        <v>0.93830853098375866</v>
      </c>
      <c r="I20" s="31">
        <v>13147290.1</v>
      </c>
      <c r="J20" s="196">
        <f t="shared" si="6"/>
        <v>0.73851515248213428</v>
      </c>
      <c r="K20" s="33">
        <v>12684612.34</v>
      </c>
      <c r="L20" s="55">
        <v>0.68804580223250023</v>
      </c>
      <c r="M20" s="159">
        <f t="shared" si="7"/>
        <v>3.647551439478991E-2</v>
      </c>
      <c r="O20" s="396"/>
    </row>
    <row r="21" spans="1:15" ht="15" customHeight="1" x14ac:dyDescent="0.2">
      <c r="A21" s="36">
        <v>5</v>
      </c>
      <c r="B21" s="23" t="s">
        <v>29</v>
      </c>
      <c r="C21" s="226">
        <v>22575394.260000002</v>
      </c>
      <c r="D21" s="232">
        <v>24210591.460000001</v>
      </c>
      <c r="E21" s="31">
        <v>23375907.739999998</v>
      </c>
      <c r="F21" s="321">
        <f t="shared" si="4"/>
        <v>0.96552402607019983</v>
      </c>
      <c r="G21" s="31">
        <v>23224564.050000001</v>
      </c>
      <c r="H21" s="321">
        <f t="shared" si="5"/>
        <v>0.95927289047733155</v>
      </c>
      <c r="I21" s="31">
        <v>18737437.390000001</v>
      </c>
      <c r="J21" s="196">
        <f t="shared" si="6"/>
        <v>0.77393554886742122</v>
      </c>
      <c r="K21" s="33">
        <v>17971241.969999999</v>
      </c>
      <c r="L21" s="55">
        <v>0.79808381115976379</v>
      </c>
      <c r="M21" s="159">
        <f t="shared" si="7"/>
        <v>4.2634528057606591E-2</v>
      </c>
    </row>
    <row r="22" spans="1:15" ht="15" customHeight="1" x14ac:dyDescent="0.2">
      <c r="A22" s="36">
        <v>6</v>
      </c>
      <c r="B22" s="23" t="s">
        <v>30</v>
      </c>
      <c r="C22" s="226">
        <v>22001694.969999999</v>
      </c>
      <c r="D22" s="232">
        <v>23970715.010000002</v>
      </c>
      <c r="E22" s="31">
        <v>23181063.77</v>
      </c>
      <c r="F22" s="321">
        <f t="shared" si="4"/>
        <v>0.96705766850631791</v>
      </c>
      <c r="G22" s="31">
        <v>22992794.370000001</v>
      </c>
      <c r="H22" s="321">
        <f t="shared" si="5"/>
        <v>0.9592035264867137</v>
      </c>
      <c r="I22" s="31">
        <v>19240654.859999999</v>
      </c>
      <c r="J22" s="196">
        <f t="shared" si="6"/>
        <v>0.80267338091388862</v>
      </c>
      <c r="K22" s="33">
        <v>19159219.059999999</v>
      </c>
      <c r="L22" s="55">
        <v>0.77192318694737938</v>
      </c>
      <c r="M22" s="159">
        <f t="shared" si="7"/>
        <v>4.2504759585957341E-3</v>
      </c>
    </row>
    <row r="23" spans="1:15" ht="15" customHeight="1" x14ac:dyDescent="0.2">
      <c r="A23" s="36">
        <v>7</v>
      </c>
      <c r="B23" s="23" t="s">
        <v>31</v>
      </c>
      <c r="C23" s="226">
        <v>27091049.690000001</v>
      </c>
      <c r="D23" s="232">
        <v>29359188.98</v>
      </c>
      <c r="E23" s="31">
        <v>27844141.52</v>
      </c>
      <c r="F23" s="321">
        <f t="shared" si="4"/>
        <v>0.94839614060755972</v>
      </c>
      <c r="G23" s="31">
        <v>27637048.66</v>
      </c>
      <c r="H23" s="321">
        <f t="shared" si="5"/>
        <v>0.94134237423339073</v>
      </c>
      <c r="I23" s="31">
        <v>23103923.350000001</v>
      </c>
      <c r="J23" s="196">
        <f t="shared" si="6"/>
        <v>0.78694010811193738</v>
      </c>
      <c r="K23" s="33">
        <v>23141987.600000001</v>
      </c>
      <c r="L23" s="55">
        <v>0.79124400395702499</v>
      </c>
      <c r="M23" s="159">
        <f t="shared" si="7"/>
        <v>-1.644813343517626E-3</v>
      </c>
    </row>
    <row r="24" spans="1:15" ht="15" customHeight="1" x14ac:dyDescent="0.2">
      <c r="A24" s="36">
        <v>8</v>
      </c>
      <c r="B24" s="23" t="s">
        <v>32</v>
      </c>
      <c r="C24" s="226">
        <v>30441458.079999998</v>
      </c>
      <c r="D24" s="232">
        <v>30792870.84</v>
      </c>
      <c r="E24" s="31">
        <v>29526768.079999998</v>
      </c>
      <c r="F24" s="321">
        <f t="shared" si="4"/>
        <v>0.95888325039329125</v>
      </c>
      <c r="G24" s="31">
        <v>29271320.309999999</v>
      </c>
      <c r="H24" s="321">
        <f t="shared" si="5"/>
        <v>0.95058757145749773</v>
      </c>
      <c r="I24" s="31">
        <v>21437806.370000001</v>
      </c>
      <c r="J24" s="196">
        <f t="shared" si="6"/>
        <v>0.69619381971206951</v>
      </c>
      <c r="K24" s="33">
        <v>22982126.949999999</v>
      </c>
      <c r="L24" s="55">
        <v>0.78609825572803371</v>
      </c>
      <c r="M24" s="159">
        <f t="shared" si="7"/>
        <v>-6.7196590783778487E-2</v>
      </c>
    </row>
    <row r="25" spans="1:15" ht="15" customHeight="1" x14ac:dyDescent="0.2">
      <c r="A25" s="36">
        <v>9</v>
      </c>
      <c r="B25" s="23" t="s">
        <v>33</v>
      </c>
      <c r="C25" s="226">
        <v>29332471.370000001</v>
      </c>
      <c r="D25" s="232">
        <v>28986712.210000001</v>
      </c>
      <c r="E25" s="31">
        <v>26567812.210000001</v>
      </c>
      <c r="F25" s="321">
        <f t="shared" si="4"/>
        <v>0.91655141906140314</v>
      </c>
      <c r="G25" s="31">
        <v>25997219.350000001</v>
      </c>
      <c r="H25" s="321">
        <f t="shared" si="5"/>
        <v>0.89686678370620221</v>
      </c>
      <c r="I25" s="31">
        <v>22074432.27</v>
      </c>
      <c r="J25" s="196">
        <f t="shared" si="6"/>
        <v>0.76153625530475433</v>
      </c>
      <c r="K25" s="33">
        <v>36038515.359999999</v>
      </c>
      <c r="L25" s="55">
        <v>0.83364565397917245</v>
      </c>
      <c r="M25" s="159">
        <f t="shared" si="7"/>
        <v>-0.38747664687372407</v>
      </c>
    </row>
    <row r="26" spans="1:15" ht="15" customHeight="1" x14ac:dyDescent="0.2">
      <c r="A26" s="37">
        <v>10</v>
      </c>
      <c r="B26" s="25" t="s">
        <v>34</v>
      </c>
      <c r="C26" s="226">
        <v>37490721.299999997</v>
      </c>
      <c r="D26" s="232">
        <v>42554311.689999998</v>
      </c>
      <c r="E26" s="31">
        <v>41166988.049999997</v>
      </c>
      <c r="F26" s="456">
        <f t="shared" si="4"/>
        <v>0.96739875267854436</v>
      </c>
      <c r="G26" s="31">
        <v>40769452.840000004</v>
      </c>
      <c r="H26" s="456">
        <f t="shared" si="5"/>
        <v>0.95805692116459673</v>
      </c>
      <c r="I26" s="31">
        <v>34263432.329999998</v>
      </c>
      <c r="J26" s="458">
        <f t="shared" si="6"/>
        <v>0.80516946389833621</v>
      </c>
      <c r="K26" s="35">
        <v>32324941.93</v>
      </c>
      <c r="L26" s="375">
        <v>0.79610800908699719</v>
      </c>
      <c r="M26" s="160">
        <f t="shared" si="7"/>
        <v>5.9968874938671757E-2</v>
      </c>
    </row>
    <row r="27" spans="1:15" ht="15" customHeight="1" thickBot="1" x14ac:dyDescent="0.25">
      <c r="A27" s="10">
        <v>6</v>
      </c>
      <c r="B27" s="2" t="s">
        <v>35</v>
      </c>
      <c r="C27" s="228">
        <f>SUM(C17:C26)</f>
        <v>303477426.18000001</v>
      </c>
      <c r="D27" s="235">
        <f>SUM(D17:D26)</f>
        <v>324652484.34999996</v>
      </c>
      <c r="E27" s="230">
        <f>SUM(E17:E26)</f>
        <v>312367852.76000005</v>
      </c>
      <c r="F27" s="98">
        <f t="shared" si="4"/>
        <v>0.96216067277416506</v>
      </c>
      <c r="G27" s="230">
        <f>SUM(G17:G26)</f>
        <v>308928581.95000005</v>
      </c>
      <c r="H27" s="98">
        <f t="shared" si="5"/>
        <v>0.95156697343166374</v>
      </c>
      <c r="I27" s="230">
        <f>SUM(I17:I26)</f>
        <v>253403661.21999997</v>
      </c>
      <c r="J27" s="188">
        <f t="shared" si="6"/>
        <v>0.78053818601557856</v>
      </c>
      <c r="K27" s="230">
        <f>SUM(K17:K26)</f>
        <v>262386802.44999999</v>
      </c>
      <c r="L27" s="44">
        <v>0.78500000000000003</v>
      </c>
      <c r="M27" s="161">
        <f t="shared" si="7"/>
        <v>-3.4236254057449567E-2</v>
      </c>
      <c r="O27" s="396"/>
    </row>
    <row r="28" spans="1:15" s="6" customFormat="1" ht="19.5" customHeight="1" thickBot="1" x14ac:dyDescent="0.25">
      <c r="A28" s="5"/>
      <c r="B28" s="4" t="s">
        <v>11</v>
      </c>
      <c r="C28" s="229">
        <f>+C16+C27</f>
        <v>2550566229.5</v>
      </c>
      <c r="D28" s="236">
        <f>+D16+D27</f>
        <v>2695226917.4100003</v>
      </c>
      <c r="E28" s="237">
        <f>+E16+E27</f>
        <v>2443594247.1100001</v>
      </c>
      <c r="F28" s="199">
        <f t="shared" si="4"/>
        <v>0.90663766799204848</v>
      </c>
      <c r="G28" s="237">
        <f>+G16+G27</f>
        <v>2427437621.8299999</v>
      </c>
      <c r="H28" s="199">
        <f t="shared" si="5"/>
        <v>0.90064313551849851</v>
      </c>
      <c r="I28" s="237">
        <f>+I16+I27</f>
        <v>2181060275.7799997</v>
      </c>
      <c r="J28" s="191">
        <f t="shared" si="6"/>
        <v>0.80923066688422174</v>
      </c>
      <c r="K28" s="231">
        <f>+K16+K27</f>
        <v>2061011101.79</v>
      </c>
      <c r="L28" s="208">
        <v>0.76300000000000001</v>
      </c>
      <c r="M28" s="163">
        <f t="shared" si="7"/>
        <v>5.8247708557094269E-2</v>
      </c>
    </row>
    <row r="29" spans="1:15" x14ac:dyDescent="0.2">
      <c r="C29" s="404"/>
      <c r="D29" s="404"/>
      <c r="E29" s="404"/>
      <c r="F29" s="524"/>
      <c r="G29" s="404"/>
      <c r="H29" s="524"/>
      <c r="I29" s="404"/>
      <c r="J29" s="524"/>
      <c r="K29" s="404"/>
    </row>
    <row r="31" spans="1:15" ht="15.75" thickBot="1" x14ac:dyDescent="0.3">
      <c r="A31" s="7" t="s">
        <v>19</v>
      </c>
    </row>
    <row r="32" spans="1:15" ht="26.25" customHeight="1" x14ac:dyDescent="0.2">
      <c r="A32" s="609" t="s">
        <v>476</v>
      </c>
      <c r="B32" s="610"/>
      <c r="C32" s="181" t="s">
        <v>479</v>
      </c>
      <c r="D32" s="595" t="s">
        <v>551</v>
      </c>
      <c r="E32" s="593"/>
      <c r="F32" s="593"/>
      <c r="G32" s="593"/>
      <c r="H32" s="593"/>
      <c r="I32" s="593"/>
      <c r="J32" s="594"/>
      <c r="K32" s="589" t="s">
        <v>552</v>
      </c>
      <c r="L32" s="590"/>
      <c r="M32" s="224"/>
    </row>
    <row r="33" spans="1:13" x14ac:dyDescent="0.2">
      <c r="C33" s="174">
        <v>1</v>
      </c>
      <c r="D33" s="165">
        <v>2</v>
      </c>
      <c r="E33" s="95">
        <v>3</v>
      </c>
      <c r="F33" s="96" t="s">
        <v>36</v>
      </c>
      <c r="G33" s="95">
        <v>4</v>
      </c>
      <c r="H33" s="96" t="s">
        <v>37</v>
      </c>
      <c r="I33" s="95">
        <v>5</v>
      </c>
      <c r="J33" s="166" t="s">
        <v>38</v>
      </c>
      <c r="K33" s="95" t="s">
        <v>39</v>
      </c>
      <c r="L33" s="16" t="s">
        <v>40</v>
      </c>
      <c r="M33" s="156" t="s">
        <v>362</v>
      </c>
    </row>
    <row r="34" spans="1:13" ht="25.5" x14ac:dyDescent="0.2">
      <c r="A34" s="1"/>
      <c r="B34" s="2" t="s">
        <v>22</v>
      </c>
      <c r="C34" s="175" t="s">
        <v>13</v>
      </c>
      <c r="D34" s="127" t="s">
        <v>14</v>
      </c>
      <c r="E34" s="97" t="s">
        <v>15</v>
      </c>
      <c r="F34" s="97" t="s">
        <v>18</v>
      </c>
      <c r="G34" s="97" t="s">
        <v>16</v>
      </c>
      <c r="H34" s="97" t="s">
        <v>18</v>
      </c>
      <c r="I34" s="97" t="s">
        <v>17</v>
      </c>
      <c r="J34" s="128" t="s">
        <v>18</v>
      </c>
      <c r="K34" s="97" t="s">
        <v>17</v>
      </c>
      <c r="L34" s="12" t="s">
        <v>18</v>
      </c>
      <c r="M34" s="157" t="s">
        <v>516</v>
      </c>
    </row>
    <row r="35" spans="1:13" ht="15" customHeight="1" x14ac:dyDescent="0.2">
      <c r="A35" s="30">
        <v>1</v>
      </c>
      <c r="B35" s="21" t="s">
        <v>567</v>
      </c>
      <c r="C35" s="226">
        <v>182282357.78</v>
      </c>
      <c r="D35" s="232">
        <v>189741062.07000002</v>
      </c>
      <c r="E35" s="31">
        <v>172301401.04999998</v>
      </c>
      <c r="F35" s="49">
        <f t="shared" ref="F35:F45" si="8">+E35/D35</f>
        <v>0.90808704858220868</v>
      </c>
      <c r="G35" s="31">
        <v>167134272.35999998</v>
      </c>
      <c r="H35" s="49">
        <f t="shared" ref="H35:H45" si="9">+G35/D35</f>
        <v>0.88085452108590045</v>
      </c>
      <c r="I35" s="31">
        <v>152489599.65000001</v>
      </c>
      <c r="J35" s="170">
        <f t="shared" ref="J35:J45" si="10">+I35/D35</f>
        <v>0.80367210969728287</v>
      </c>
      <c r="K35" s="31">
        <v>151100908.32000002</v>
      </c>
      <c r="L35" s="53">
        <v>0.8298959486130808</v>
      </c>
      <c r="M35" s="158">
        <f t="shared" ref="M35:M45" si="11">+I35/K35-1</f>
        <v>9.190489623391418E-3</v>
      </c>
    </row>
    <row r="36" spans="1:13" ht="15" customHeight="1" x14ac:dyDescent="0.2">
      <c r="A36" s="32">
        <v>2</v>
      </c>
      <c r="B36" s="23" t="s">
        <v>568</v>
      </c>
      <c r="C36" s="226">
        <v>205272445.00999999</v>
      </c>
      <c r="D36" s="232">
        <v>240867116.59999999</v>
      </c>
      <c r="E36" s="31">
        <v>223201853.50999999</v>
      </c>
      <c r="F36" s="49">
        <f t="shared" si="8"/>
        <v>0.92665971453738905</v>
      </c>
      <c r="G36" s="31">
        <v>220890014.59999999</v>
      </c>
      <c r="H36" s="321">
        <f t="shared" si="9"/>
        <v>0.91706172979529077</v>
      </c>
      <c r="I36" s="31">
        <v>198695998.66</v>
      </c>
      <c r="J36" s="196">
        <f t="shared" si="10"/>
        <v>0.82491957169050945</v>
      </c>
      <c r="K36" s="33">
        <v>167893612.25999999</v>
      </c>
      <c r="L36" s="55">
        <v>0.87079028266300107</v>
      </c>
      <c r="M36" s="159">
        <f t="shared" si="11"/>
        <v>0.18346371839507181</v>
      </c>
    </row>
    <row r="37" spans="1:13" ht="15" customHeight="1" x14ac:dyDescent="0.2">
      <c r="A37" s="32">
        <v>4</v>
      </c>
      <c r="B37" s="23" t="s">
        <v>569</v>
      </c>
      <c r="C37" s="226">
        <v>244658507.91</v>
      </c>
      <c r="D37" s="232">
        <v>244071480.63</v>
      </c>
      <c r="E37" s="31">
        <v>218052313.72999999</v>
      </c>
      <c r="F37" s="49">
        <f t="shared" si="8"/>
        <v>0.89339530029137759</v>
      </c>
      <c r="G37" s="31">
        <v>216949519.55000001</v>
      </c>
      <c r="H37" s="321">
        <f t="shared" si="9"/>
        <v>0.88887697567125634</v>
      </c>
      <c r="I37" s="31">
        <v>206552226.97</v>
      </c>
      <c r="J37" s="196">
        <f t="shared" si="10"/>
        <v>0.84627760046706446</v>
      </c>
      <c r="K37" s="33">
        <v>203338348.83000001</v>
      </c>
      <c r="L37" s="55">
        <v>0.85443424392852674</v>
      </c>
      <c r="M37" s="159">
        <f t="shared" si="11"/>
        <v>1.58055681994691E-2</v>
      </c>
    </row>
    <row r="38" spans="1:13" ht="15" customHeight="1" x14ac:dyDescent="0.2">
      <c r="A38" s="148" t="s">
        <v>422</v>
      </c>
      <c r="B38" s="23" t="s">
        <v>570</v>
      </c>
      <c r="C38" s="226">
        <v>42675310.450000003</v>
      </c>
      <c r="D38" s="232">
        <v>60974091.850000001</v>
      </c>
      <c r="E38" s="31">
        <v>54607268.899999999</v>
      </c>
      <c r="F38" s="49">
        <f t="shared" si="8"/>
        <v>0.89558150426146932</v>
      </c>
      <c r="G38" s="31">
        <v>54126654.909999996</v>
      </c>
      <c r="H38" s="321">
        <f t="shared" si="9"/>
        <v>0.88769923860702804</v>
      </c>
      <c r="I38" s="31">
        <v>46180256.549999997</v>
      </c>
      <c r="J38" s="196">
        <f t="shared" si="10"/>
        <v>0.75737506125726739</v>
      </c>
      <c r="K38" s="33">
        <v>36866333.710000001</v>
      </c>
      <c r="L38" s="55">
        <v>0.8403753325167842</v>
      </c>
      <c r="M38" s="159">
        <f t="shared" si="11"/>
        <v>0.25264033340732195</v>
      </c>
    </row>
    <row r="39" spans="1:13" ht="15" customHeight="1" x14ac:dyDescent="0.2">
      <c r="A39" s="148" t="s">
        <v>421</v>
      </c>
      <c r="B39" s="23" t="s">
        <v>571</v>
      </c>
      <c r="C39" s="226">
        <v>309902947.29000002</v>
      </c>
      <c r="D39" s="232">
        <v>310319480.33999997</v>
      </c>
      <c r="E39" s="31">
        <v>307166647.63</v>
      </c>
      <c r="F39" s="49">
        <f t="shared" si="8"/>
        <v>0.98984004256985225</v>
      </c>
      <c r="G39" s="31">
        <v>307041151.32999998</v>
      </c>
      <c r="H39" s="321">
        <f t="shared" si="9"/>
        <v>0.98943563257321743</v>
      </c>
      <c r="I39" s="31">
        <v>240131425.69999999</v>
      </c>
      <c r="J39" s="196">
        <f t="shared" si="10"/>
        <v>0.77382001747650908</v>
      </c>
      <c r="K39" s="33">
        <v>242995512.53999999</v>
      </c>
      <c r="L39" s="55">
        <v>0.79651354345642011</v>
      </c>
      <c r="M39" s="159">
        <f t="shared" si="11"/>
        <v>-1.1786583258522221E-2</v>
      </c>
    </row>
    <row r="40" spans="1:13" ht="15" customHeight="1" x14ac:dyDescent="0.2">
      <c r="A40" s="148" t="s">
        <v>447</v>
      </c>
      <c r="B40" s="23" t="s">
        <v>572</v>
      </c>
      <c r="C40" s="226">
        <v>6604592.1299999999</v>
      </c>
      <c r="D40" s="232">
        <v>5646313.8799999999</v>
      </c>
      <c r="E40" s="31">
        <v>5304882.8600000003</v>
      </c>
      <c r="F40" s="49">
        <f t="shared" si="8"/>
        <v>0.93953027988589266</v>
      </c>
      <c r="G40" s="31">
        <v>5272840.1399999997</v>
      </c>
      <c r="H40" s="321">
        <f t="shared" si="9"/>
        <v>0.93385529959237756</v>
      </c>
      <c r="I40" s="31">
        <v>3834296.18</v>
      </c>
      <c r="J40" s="196">
        <f t="shared" si="10"/>
        <v>0.67907953073271232</v>
      </c>
      <c r="K40" s="150">
        <v>4115377.66</v>
      </c>
      <c r="L40" s="55">
        <v>0.60127417928229654</v>
      </c>
      <c r="M40" s="159">
        <f t="shared" si="11"/>
        <v>-6.8300288144150567E-2</v>
      </c>
    </row>
    <row r="41" spans="1:13" ht="15" customHeight="1" x14ac:dyDescent="0.2">
      <c r="A41" s="148" t="s">
        <v>452</v>
      </c>
      <c r="B41" s="23" t="s">
        <v>573</v>
      </c>
      <c r="C41" s="226">
        <v>43447489.090000004</v>
      </c>
      <c r="D41" s="232">
        <v>42793514.719999999</v>
      </c>
      <c r="E41" s="31">
        <v>42562356.280000001</v>
      </c>
      <c r="F41" s="49">
        <f t="shared" si="8"/>
        <v>0.99459828337278489</v>
      </c>
      <c r="G41" s="31">
        <v>42131848.719999999</v>
      </c>
      <c r="H41" s="321">
        <f t="shared" si="9"/>
        <v>0.98453817116146425</v>
      </c>
      <c r="I41" s="31">
        <v>33061994.84</v>
      </c>
      <c r="J41" s="196">
        <f t="shared" si="10"/>
        <v>0.77259358237635312</v>
      </c>
      <c r="K41" s="150">
        <v>30289209.93</v>
      </c>
      <c r="L41" s="55">
        <v>0.83543808717024981</v>
      </c>
      <c r="M41" s="159">
        <f t="shared" si="11"/>
        <v>9.1543652555086563E-2</v>
      </c>
    </row>
    <row r="42" spans="1:13" ht="15" customHeight="1" x14ac:dyDescent="0.2">
      <c r="A42" s="32" t="s">
        <v>574</v>
      </c>
      <c r="B42" s="23" t="s">
        <v>576</v>
      </c>
      <c r="C42" s="226">
        <v>49393185.259999998</v>
      </c>
      <c r="D42" s="232">
        <v>53015099.240000002</v>
      </c>
      <c r="E42" s="31">
        <v>52387708.390000001</v>
      </c>
      <c r="F42" s="49">
        <f t="shared" si="8"/>
        <v>0.98816580825097022</v>
      </c>
      <c r="G42" s="31">
        <v>52178949.030000001</v>
      </c>
      <c r="H42" s="321">
        <f t="shared" si="9"/>
        <v>0.98422807422816017</v>
      </c>
      <c r="I42" s="31">
        <v>48411775.880000003</v>
      </c>
      <c r="J42" s="196">
        <f t="shared" si="10"/>
        <v>0.91316957949732969</v>
      </c>
      <c r="K42" s="150">
        <v>29431892.890000001</v>
      </c>
      <c r="L42" s="55">
        <f>+K42/31854797.59</f>
        <v>0.92393909604496727</v>
      </c>
      <c r="M42" s="159">
        <f t="shared" si="11"/>
        <v>0.64487469633489836</v>
      </c>
    </row>
    <row r="43" spans="1:13" ht="15" customHeight="1" x14ac:dyDescent="0.2">
      <c r="A43" s="34" t="s">
        <v>575</v>
      </c>
      <c r="B43" s="25" t="s">
        <v>577</v>
      </c>
      <c r="C43" s="226">
        <v>79729691.079999998</v>
      </c>
      <c r="D43" s="232">
        <v>72616859.859999999</v>
      </c>
      <c r="E43" s="31">
        <v>67773457.900000006</v>
      </c>
      <c r="F43" s="49">
        <f t="shared" si="8"/>
        <v>0.93330196363024076</v>
      </c>
      <c r="G43" s="31">
        <v>66029105.5</v>
      </c>
      <c r="H43" s="321">
        <f t="shared" si="9"/>
        <v>0.90928064952545862</v>
      </c>
      <c r="I43" s="31">
        <v>61766856.57</v>
      </c>
      <c r="J43" s="196">
        <f t="shared" si="10"/>
        <v>0.85058561729441329</v>
      </c>
      <c r="K43" s="150">
        <v>54838344.420000002</v>
      </c>
      <c r="L43" s="55">
        <f>+K43/68628623.4</f>
        <v>0.79905936769817243</v>
      </c>
      <c r="M43" s="159">
        <f t="shared" si="11"/>
        <v>0.12634429837880212</v>
      </c>
    </row>
    <row r="44" spans="1:13" ht="15" customHeight="1" x14ac:dyDescent="0.2">
      <c r="A44" s="34" t="s">
        <v>423</v>
      </c>
      <c r="B44" s="25" t="s">
        <v>23</v>
      </c>
      <c r="C44" s="226">
        <v>333733413.32999998</v>
      </c>
      <c r="D44" s="232">
        <v>317847553.12</v>
      </c>
      <c r="E44" s="31">
        <v>239751615.97999999</v>
      </c>
      <c r="F44" s="49">
        <f t="shared" si="8"/>
        <v>0.75429750402855633</v>
      </c>
      <c r="G44" s="31">
        <v>239751615.97999999</v>
      </c>
      <c r="H44" s="456">
        <f t="shared" si="9"/>
        <v>0.75429750402855633</v>
      </c>
      <c r="I44" s="31">
        <v>236221662.31</v>
      </c>
      <c r="J44" s="458">
        <f t="shared" si="10"/>
        <v>0.74319169674657526</v>
      </c>
      <c r="K44" s="33">
        <v>233767415.37</v>
      </c>
      <c r="L44" s="55">
        <v>0.73860229954753054</v>
      </c>
      <c r="M44" s="159">
        <f t="shared" si="11"/>
        <v>1.0498669954131401E-2</v>
      </c>
    </row>
    <row r="45" spans="1:13" ht="15" customHeight="1" x14ac:dyDescent="0.2">
      <c r="A45" s="32">
        <v>8</v>
      </c>
      <c r="B45" s="23" t="s">
        <v>578</v>
      </c>
      <c r="C45" s="226">
        <v>209900385.63</v>
      </c>
      <c r="D45" s="232">
        <v>221719169.09999999</v>
      </c>
      <c r="E45" s="31">
        <v>219313424.38</v>
      </c>
      <c r="F45" s="49">
        <f t="shared" si="8"/>
        <v>0.98914958625469607</v>
      </c>
      <c r="G45" s="31">
        <v>219313424.38</v>
      </c>
      <c r="H45" s="321">
        <f t="shared" si="9"/>
        <v>0.98914958625469607</v>
      </c>
      <c r="I45" s="31">
        <v>218702759.94</v>
      </c>
      <c r="J45" s="196">
        <f t="shared" si="10"/>
        <v>0.98639536142840434</v>
      </c>
      <c r="K45" s="35">
        <v>203303765.69999999</v>
      </c>
      <c r="L45" s="375">
        <v>0.98004645981967053</v>
      </c>
      <c r="M45" s="159">
        <f t="shared" si="11"/>
        <v>7.5743772807057352E-2</v>
      </c>
    </row>
    <row r="46" spans="1:13" ht="15" customHeight="1" x14ac:dyDescent="0.2">
      <c r="A46" s="9"/>
      <c r="B46" s="2" t="s">
        <v>24</v>
      </c>
      <c r="C46" s="235">
        <f>SUM(C35:C45)</f>
        <v>1707600324.96</v>
      </c>
      <c r="D46" s="235">
        <f>SUM(D35:D45)</f>
        <v>1759611741.4099998</v>
      </c>
      <c r="E46" s="230">
        <f>SUM(E35:E45)</f>
        <v>1602422930.6100001</v>
      </c>
      <c r="F46" s="98">
        <f t="shared" ref="F46:F58" si="12">+E46/D46</f>
        <v>0.91066846901462351</v>
      </c>
      <c r="G46" s="230">
        <f>SUM(G35:G45)</f>
        <v>1590819396.5</v>
      </c>
      <c r="H46" s="98">
        <f t="shared" ref="H46:H58" si="13">+G46/D46</f>
        <v>0.90407409717853759</v>
      </c>
      <c r="I46" s="230">
        <f>SUM(I35:I45)</f>
        <v>1446048853.25</v>
      </c>
      <c r="J46" s="188">
        <f t="shared" ref="J46:J58" si="14">+I46/D46</f>
        <v>0.82179995689916352</v>
      </c>
      <c r="K46" s="230">
        <f>SUM(K35:K45)</f>
        <v>1357940721.6299999</v>
      </c>
      <c r="L46" s="44">
        <v>0.83299999999999996</v>
      </c>
      <c r="M46" s="161">
        <f t="shared" ref="M46:M58" si="15">+I46/K46-1</f>
        <v>6.4883636094394292E-2</v>
      </c>
    </row>
    <row r="47" spans="1:13" ht="15" customHeight="1" x14ac:dyDescent="0.2">
      <c r="A47" s="30">
        <v>1</v>
      </c>
      <c r="B47" s="21" t="s">
        <v>25</v>
      </c>
      <c r="C47" s="226">
        <v>45393979.670000002</v>
      </c>
      <c r="D47" s="232">
        <v>45820252.890000001</v>
      </c>
      <c r="E47" s="31">
        <v>45154258.380000003</v>
      </c>
      <c r="F47" s="49">
        <f t="shared" si="12"/>
        <v>0.98546506254343813</v>
      </c>
      <c r="G47" s="31">
        <v>44915333.030000001</v>
      </c>
      <c r="H47" s="49">
        <f t="shared" si="13"/>
        <v>0.98025065766938413</v>
      </c>
      <c r="I47" s="31">
        <v>37558598.840000004</v>
      </c>
      <c r="J47" s="170">
        <f t="shared" si="14"/>
        <v>0.81969427209767642</v>
      </c>
      <c r="K47" s="31">
        <v>36545481.119999997</v>
      </c>
      <c r="L47" s="53">
        <v>0.80602996823682937</v>
      </c>
      <c r="M47" s="158">
        <f t="shared" si="15"/>
        <v>2.7722106508144106E-2</v>
      </c>
    </row>
    <row r="48" spans="1:13" ht="15" customHeight="1" x14ac:dyDescent="0.2">
      <c r="A48" s="32">
        <v>2</v>
      </c>
      <c r="B48" s="23" t="s">
        <v>26</v>
      </c>
      <c r="C48" s="226">
        <v>39077838.960000001</v>
      </c>
      <c r="D48" s="232">
        <v>40223586.299999997</v>
      </c>
      <c r="E48" s="31">
        <v>39382137.299999997</v>
      </c>
      <c r="F48" s="321">
        <f t="shared" si="12"/>
        <v>0.9790807066847742</v>
      </c>
      <c r="G48" s="31">
        <v>38876421.450000003</v>
      </c>
      <c r="H48" s="321">
        <f t="shared" si="13"/>
        <v>0.96650808707228586</v>
      </c>
      <c r="I48" s="31">
        <v>33094240.579999998</v>
      </c>
      <c r="J48" s="196">
        <f t="shared" si="14"/>
        <v>0.82275708419365878</v>
      </c>
      <c r="K48" s="33">
        <v>32497402.16</v>
      </c>
      <c r="L48" s="55">
        <v>0.83884487701623323</v>
      </c>
      <c r="M48" s="159">
        <f t="shared" si="15"/>
        <v>1.8365727114477703E-2</v>
      </c>
    </row>
    <row r="49" spans="1:13" ht="15" customHeight="1" x14ac:dyDescent="0.2">
      <c r="A49" s="36">
        <v>3</v>
      </c>
      <c r="B49" s="23" t="s">
        <v>27</v>
      </c>
      <c r="C49" s="226">
        <v>32320121.32</v>
      </c>
      <c r="D49" s="232">
        <v>33567092.170000002</v>
      </c>
      <c r="E49" s="31">
        <v>32741322.940000001</v>
      </c>
      <c r="F49" s="321">
        <f t="shared" si="12"/>
        <v>0.97539944104130605</v>
      </c>
      <c r="G49" s="31">
        <v>32299772.43</v>
      </c>
      <c r="H49" s="321">
        <f t="shared" si="13"/>
        <v>0.96224517352942929</v>
      </c>
      <c r="I49" s="31">
        <v>26935006.359999999</v>
      </c>
      <c r="J49" s="196">
        <f t="shared" si="14"/>
        <v>0.80242298688215496</v>
      </c>
      <c r="K49" s="33">
        <v>26580614.57</v>
      </c>
      <c r="L49" s="55">
        <v>0.81414437480030188</v>
      </c>
      <c r="M49" s="159">
        <f t="shared" si="15"/>
        <v>1.3332716181813975E-2</v>
      </c>
    </row>
    <row r="50" spans="1:13" ht="15" customHeight="1" x14ac:dyDescent="0.2">
      <c r="A50" s="36">
        <v>4</v>
      </c>
      <c r="B50" s="23" t="s">
        <v>28</v>
      </c>
      <c r="C50" s="226">
        <v>15096559.359999999</v>
      </c>
      <c r="D50" s="232">
        <v>15670463.27</v>
      </c>
      <c r="E50" s="31">
        <v>14958571.939999999</v>
      </c>
      <c r="F50" s="321">
        <f t="shared" si="12"/>
        <v>0.95457113693869755</v>
      </c>
      <c r="G50" s="31">
        <v>14655458.710000001</v>
      </c>
      <c r="H50" s="321">
        <f t="shared" si="13"/>
        <v>0.9352281714642634</v>
      </c>
      <c r="I50" s="31">
        <v>12370731.41</v>
      </c>
      <c r="J50" s="196">
        <f t="shared" si="14"/>
        <v>0.78942984625623003</v>
      </c>
      <c r="K50" s="33">
        <v>12211574.58</v>
      </c>
      <c r="L50" s="55">
        <v>0.81255848144600673</v>
      </c>
      <c r="M50" s="159">
        <f t="shared" si="15"/>
        <v>1.3033276663655391E-2</v>
      </c>
    </row>
    <row r="51" spans="1:13" ht="15" customHeight="1" x14ac:dyDescent="0.2">
      <c r="A51" s="36">
        <v>5</v>
      </c>
      <c r="B51" s="23" t="s">
        <v>29</v>
      </c>
      <c r="C51" s="226">
        <v>21002284.260000002</v>
      </c>
      <c r="D51" s="232">
        <v>21675105.969999999</v>
      </c>
      <c r="E51" s="31">
        <v>21072555.73</v>
      </c>
      <c r="F51" s="321">
        <f t="shared" si="12"/>
        <v>0.97220081688025084</v>
      </c>
      <c r="G51" s="31">
        <v>20924947.100000001</v>
      </c>
      <c r="H51" s="321">
        <f t="shared" si="13"/>
        <v>0.96539076343902197</v>
      </c>
      <c r="I51" s="31">
        <v>17513434.260000002</v>
      </c>
      <c r="J51" s="196">
        <f t="shared" si="14"/>
        <v>0.80799763028794103</v>
      </c>
      <c r="K51" s="33">
        <v>17250037.18</v>
      </c>
      <c r="L51" s="55">
        <v>0.83297887365965562</v>
      </c>
      <c r="M51" s="159">
        <f t="shared" si="15"/>
        <v>1.5269363031019445E-2</v>
      </c>
    </row>
    <row r="52" spans="1:13" ht="15" customHeight="1" x14ac:dyDescent="0.2">
      <c r="A52" s="36">
        <v>6</v>
      </c>
      <c r="B52" s="23" t="s">
        <v>30</v>
      </c>
      <c r="C52" s="226">
        <v>21419602.420000002</v>
      </c>
      <c r="D52" s="232">
        <v>21821554.129999999</v>
      </c>
      <c r="E52" s="31">
        <v>21252626.07</v>
      </c>
      <c r="F52" s="321">
        <f t="shared" si="12"/>
        <v>0.97392816035875995</v>
      </c>
      <c r="G52" s="31">
        <v>21093783.390000001</v>
      </c>
      <c r="H52" s="321">
        <f t="shared" si="13"/>
        <v>0.96664899595764964</v>
      </c>
      <c r="I52" s="31">
        <v>18118638.57</v>
      </c>
      <c r="J52" s="196">
        <f t="shared" si="14"/>
        <v>0.83030926496159696</v>
      </c>
      <c r="K52" s="33">
        <v>17593318.870000001</v>
      </c>
      <c r="L52" s="55">
        <v>0.83731516699072384</v>
      </c>
      <c r="M52" s="159">
        <f t="shared" si="15"/>
        <v>2.985904500916936E-2</v>
      </c>
    </row>
    <row r="53" spans="1:13" ht="15" customHeight="1" x14ac:dyDescent="0.2">
      <c r="A53" s="36">
        <v>7</v>
      </c>
      <c r="B53" s="23" t="s">
        <v>31</v>
      </c>
      <c r="C53" s="226">
        <v>25695480.390000001</v>
      </c>
      <c r="D53" s="232">
        <v>26233187.59</v>
      </c>
      <c r="E53" s="31">
        <v>25169139.640000001</v>
      </c>
      <c r="F53" s="321">
        <f t="shared" si="12"/>
        <v>0.95943886169572434</v>
      </c>
      <c r="G53" s="31">
        <v>25015194.07</v>
      </c>
      <c r="H53" s="321">
        <f t="shared" si="13"/>
        <v>0.95357051003347015</v>
      </c>
      <c r="I53" s="31">
        <v>21575762.350000001</v>
      </c>
      <c r="J53" s="196">
        <f t="shared" si="14"/>
        <v>0.82246056740068474</v>
      </c>
      <c r="K53" s="33">
        <v>21467756.149999999</v>
      </c>
      <c r="L53" s="55">
        <v>0.85013135625096958</v>
      </c>
      <c r="M53" s="159">
        <f t="shared" si="15"/>
        <v>5.0310893809926149E-3</v>
      </c>
    </row>
    <row r="54" spans="1:13" ht="15" customHeight="1" x14ac:dyDescent="0.2">
      <c r="A54" s="36">
        <v>8</v>
      </c>
      <c r="B54" s="23" t="s">
        <v>32</v>
      </c>
      <c r="C54" s="226">
        <v>27379622.440000001</v>
      </c>
      <c r="D54" s="232">
        <v>28280432.850000001</v>
      </c>
      <c r="E54" s="31">
        <v>27245218.879999999</v>
      </c>
      <c r="F54" s="321">
        <f t="shared" si="12"/>
        <v>0.96339469146420786</v>
      </c>
      <c r="G54" s="31">
        <v>27019779.960000001</v>
      </c>
      <c r="H54" s="321">
        <f t="shared" si="13"/>
        <v>0.95542314020840735</v>
      </c>
      <c r="I54" s="31">
        <v>20709444.489999998</v>
      </c>
      <c r="J54" s="196">
        <f t="shared" si="14"/>
        <v>0.73228880900951265</v>
      </c>
      <c r="K54" s="33">
        <v>22518878.27</v>
      </c>
      <c r="L54" s="55">
        <v>0.82244322756454891</v>
      </c>
      <c r="M54" s="159">
        <f t="shared" si="15"/>
        <v>-8.0351861149787207E-2</v>
      </c>
    </row>
    <row r="55" spans="1:13" ht="15" customHeight="1" x14ac:dyDescent="0.2">
      <c r="A55" s="36">
        <v>9</v>
      </c>
      <c r="B55" s="23" t="s">
        <v>33</v>
      </c>
      <c r="C55" s="226">
        <v>23990071.370000001</v>
      </c>
      <c r="D55" s="232">
        <v>24573876</v>
      </c>
      <c r="E55" s="31">
        <v>22423741.969999999</v>
      </c>
      <c r="F55" s="321">
        <f t="shared" si="12"/>
        <v>0.91250326037292606</v>
      </c>
      <c r="G55" s="31">
        <v>21876662.91</v>
      </c>
      <c r="H55" s="321">
        <f t="shared" si="13"/>
        <v>0.89024063236910611</v>
      </c>
      <c r="I55" s="31">
        <v>18974562.649999999</v>
      </c>
      <c r="J55" s="196">
        <f t="shared" si="14"/>
        <v>0.77214366386482935</v>
      </c>
      <c r="K55" s="33">
        <v>17719375.670000002</v>
      </c>
      <c r="L55" s="55">
        <v>0.78320545260752261</v>
      </c>
      <c r="M55" s="159">
        <f t="shared" si="15"/>
        <v>7.0836975488087095E-2</v>
      </c>
    </row>
    <row r="56" spans="1:13" ht="15" customHeight="1" x14ac:dyDescent="0.2">
      <c r="A56" s="37">
        <v>10</v>
      </c>
      <c r="B56" s="25" t="s">
        <v>34</v>
      </c>
      <c r="C56" s="226">
        <v>37134721.299999997</v>
      </c>
      <c r="D56" s="232">
        <v>37495688.299999997</v>
      </c>
      <c r="E56" s="31">
        <v>36462788.920000002</v>
      </c>
      <c r="F56" s="456">
        <f t="shared" si="12"/>
        <v>0.97245284919866382</v>
      </c>
      <c r="G56" s="31">
        <v>36085340.700000003</v>
      </c>
      <c r="H56" s="456">
        <f t="shared" si="13"/>
        <v>0.96238640590576929</v>
      </c>
      <c r="I56" s="31">
        <v>31341464.66</v>
      </c>
      <c r="J56" s="458">
        <f t="shared" si="14"/>
        <v>0.83586849797873963</v>
      </c>
      <c r="K56" s="35">
        <v>30775269.800000001</v>
      </c>
      <c r="L56" s="375">
        <v>0.84008220983625281</v>
      </c>
      <c r="M56" s="160">
        <f t="shared" si="15"/>
        <v>1.8397722056688437E-2</v>
      </c>
    </row>
    <row r="57" spans="1:13" ht="15" customHeight="1" thickBot="1" x14ac:dyDescent="0.25">
      <c r="A57" s="10">
        <v>6</v>
      </c>
      <c r="B57" s="2" t="s">
        <v>35</v>
      </c>
      <c r="C57" s="235">
        <f>SUM(C47:C56)</f>
        <v>288510281.49000001</v>
      </c>
      <c r="D57" s="235">
        <f>SUM(D47:D56)</f>
        <v>295361239.46999997</v>
      </c>
      <c r="E57" s="230">
        <f>SUM(E47:E56)</f>
        <v>285862361.76999998</v>
      </c>
      <c r="F57" s="98">
        <f t="shared" si="12"/>
        <v>0.96783979605094794</v>
      </c>
      <c r="G57" s="230">
        <f>SUM(G47:G56)</f>
        <v>282762693.75</v>
      </c>
      <c r="H57" s="98">
        <f t="shared" si="13"/>
        <v>0.95734529776958222</v>
      </c>
      <c r="I57" s="230">
        <f>SUM(I47:I56)</f>
        <v>238191884.17000002</v>
      </c>
      <c r="J57" s="188">
        <f t="shared" si="14"/>
        <v>0.80644259415153663</v>
      </c>
      <c r="K57" s="230">
        <f>SUM(K47:K56)</f>
        <v>235159708.37</v>
      </c>
      <c r="L57" s="44">
        <v>0.82399999999999995</v>
      </c>
      <c r="M57" s="161">
        <f t="shared" si="15"/>
        <v>1.2894112775600153E-2</v>
      </c>
    </row>
    <row r="58" spans="1:13" s="6" customFormat="1" ht="23.25" customHeight="1" thickBot="1" x14ac:dyDescent="0.25">
      <c r="A58" s="5"/>
      <c r="B58" s="4" t="s">
        <v>130</v>
      </c>
      <c r="C58" s="236">
        <f>+C46+C57</f>
        <v>1996110606.45</v>
      </c>
      <c r="D58" s="236">
        <f>+D46+D57</f>
        <v>2054972980.8799999</v>
      </c>
      <c r="E58" s="237">
        <f>+E46+E57</f>
        <v>1888285292.3800001</v>
      </c>
      <c r="F58" s="199">
        <f t="shared" si="12"/>
        <v>0.91888570309638851</v>
      </c>
      <c r="G58" s="237">
        <f>+G46+G57</f>
        <v>1873582090.25</v>
      </c>
      <c r="H58" s="199">
        <f t="shared" si="13"/>
        <v>0.91173076613770221</v>
      </c>
      <c r="I58" s="237">
        <f>+I46+I57</f>
        <v>1684240737.4200001</v>
      </c>
      <c r="J58" s="191">
        <f t="shared" si="14"/>
        <v>0.81959264335376258</v>
      </c>
      <c r="K58" s="231">
        <f>+K57+K46</f>
        <v>1593100430</v>
      </c>
      <c r="L58" s="208">
        <v>0.83199999999999996</v>
      </c>
      <c r="M58" s="163">
        <f t="shared" si="15"/>
        <v>5.7209392266625692E-2</v>
      </c>
    </row>
    <row r="63" spans="1:13" x14ac:dyDescent="0.2">
      <c r="C63" s="396"/>
      <c r="D63" s="396"/>
      <c r="E63" s="396"/>
      <c r="F63" s="525"/>
      <c r="G63" s="396"/>
      <c r="H63" s="525"/>
      <c r="I63" s="396"/>
      <c r="J63" s="525"/>
      <c r="K63" s="396"/>
    </row>
    <row r="64" spans="1:13" x14ac:dyDescent="0.2">
      <c r="C64" s="405"/>
      <c r="D64" s="405"/>
      <c r="E64" s="405"/>
      <c r="F64" s="506"/>
      <c r="G64" s="405"/>
      <c r="H64" s="506"/>
      <c r="I64" s="405"/>
      <c r="J64" s="506"/>
      <c r="K64" s="405"/>
    </row>
  </sheetData>
  <mergeCells count="5">
    <mergeCell ref="K2:L2"/>
    <mergeCell ref="K32:L32"/>
    <mergeCell ref="D2:J2"/>
    <mergeCell ref="A32:B32"/>
    <mergeCell ref="D32:J3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2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70" zoomScaleNormal="70" workbookViewId="0">
      <selection activeCell="K20" sqref="K20"/>
    </sheetView>
  </sheetViews>
  <sheetFormatPr defaultColWidth="11.42578125" defaultRowHeight="12.75" x14ac:dyDescent="0.2"/>
  <cols>
    <col min="1" max="1" width="4.140625" customWidth="1"/>
    <col min="2" max="2" width="30.140625" customWidth="1"/>
    <col min="3" max="5" width="12.7109375" customWidth="1"/>
    <col min="6" max="6" width="6.28515625" style="105" customWidth="1"/>
    <col min="7" max="7" width="12.7109375" customWidth="1"/>
    <col min="8" max="8" width="6.28515625" style="105" customWidth="1"/>
    <col min="9" max="9" width="12.7109375" customWidth="1"/>
    <col min="10" max="10" width="6.28515625" style="105" customWidth="1"/>
    <col min="11" max="11" width="12.7109375" customWidth="1"/>
    <col min="12" max="12" width="6.28515625" style="105" customWidth="1"/>
    <col min="13" max="13" width="8.140625" style="105" bestFit="1" customWidth="1"/>
    <col min="14" max="14" width="3.140625" customWidth="1"/>
    <col min="15" max="15" width="15.5703125" bestFit="1" customWidth="1"/>
  </cols>
  <sheetData>
    <row r="1" spans="2:13" ht="15" x14ac:dyDescent="0.25">
      <c r="B1" s="7" t="s">
        <v>19</v>
      </c>
    </row>
    <row r="2" spans="2:13" x14ac:dyDescent="0.2">
      <c r="B2" s="8" t="s">
        <v>21</v>
      </c>
      <c r="F2"/>
      <c r="H2"/>
      <c r="J2"/>
      <c r="L2"/>
      <c r="M2"/>
    </row>
    <row r="3" spans="2:13" x14ac:dyDescent="0.2">
      <c r="F3"/>
      <c r="H3"/>
      <c r="J3"/>
      <c r="L3"/>
      <c r="M3"/>
    </row>
    <row r="4" spans="2:13" x14ac:dyDescent="0.2">
      <c r="F4"/>
      <c r="H4"/>
      <c r="J4"/>
      <c r="L4"/>
      <c r="M4"/>
    </row>
    <row r="5" spans="2:13" ht="15" customHeight="1" x14ac:dyDescent="0.2">
      <c r="F5"/>
      <c r="H5"/>
      <c r="J5"/>
      <c r="L5"/>
      <c r="M5"/>
    </row>
    <row r="6" spans="2:13" ht="15" customHeight="1" x14ac:dyDescent="0.2">
      <c r="F6"/>
      <c r="H6"/>
      <c r="J6"/>
      <c r="L6"/>
      <c r="M6"/>
    </row>
    <row r="7" spans="2:13" ht="15" customHeight="1" x14ac:dyDescent="0.2">
      <c r="F7"/>
      <c r="H7"/>
      <c r="J7"/>
      <c r="L7"/>
      <c r="M7"/>
    </row>
    <row r="8" spans="2:13" ht="15" customHeight="1" x14ac:dyDescent="0.2">
      <c r="F8"/>
      <c r="H8"/>
      <c r="J8"/>
      <c r="L8"/>
      <c r="M8"/>
    </row>
    <row r="9" spans="2:13" ht="15" customHeight="1" x14ac:dyDescent="0.2">
      <c r="F9"/>
      <c r="H9"/>
      <c r="J9"/>
      <c r="L9"/>
      <c r="M9"/>
    </row>
    <row r="10" spans="2:13" ht="15" customHeight="1" x14ac:dyDescent="0.2">
      <c r="F10"/>
      <c r="H10"/>
      <c r="J10"/>
      <c r="L10"/>
      <c r="M10"/>
    </row>
    <row r="11" spans="2:13" ht="15" customHeight="1" x14ac:dyDescent="0.2">
      <c r="F11"/>
      <c r="H11"/>
      <c r="J11"/>
      <c r="L11"/>
      <c r="M11"/>
    </row>
    <row r="12" spans="2:13" ht="15" customHeight="1" x14ac:dyDescent="0.2">
      <c r="F12"/>
      <c r="H12"/>
      <c r="J12"/>
      <c r="L12"/>
      <c r="M12"/>
    </row>
    <row r="13" spans="2:13" ht="15" customHeight="1" x14ac:dyDescent="0.2">
      <c r="F13"/>
      <c r="H13"/>
      <c r="J13"/>
      <c r="L13"/>
      <c r="M13"/>
    </row>
    <row r="14" spans="2:13" ht="15" customHeight="1" x14ac:dyDescent="0.2">
      <c r="F14"/>
      <c r="H14"/>
      <c r="J14"/>
      <c r="L14"/>
      <c r="M14"/>
    </row>
    <row r="15" spans="2:13" ht="15" customHeight="1" x14ac:dyDescent="0.2">
      <c r="F15"/>
      <c r="H15"/>
      <c r="J15"/>
      <c r="L15"/>
      <c r="M15"/>
    </row>
    <row r="16" spans="2:13" ht="15" customHeight="1" x14ac:dyDescent="0.2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">
      <c r="B18" s="611" t="s">
        <v>542</v>
      </c>
      <c r="C18" s="612"/>
      <c r="F18"/>
      <c r="H18"/>
      <c r="J18"/>
      <c r="L18"/>
      <c r="M18"/>
    </row>
    <row r="19" spans="2:13" ht="15" customHeight="1" x14ac:dyDescent="0.2">
      <c r="F19"/>
      <c r="H19"/>
      <c r="J19"/>
      <c r="L19"/>
      <c r="M19"/>
    </row>
    <row r="20" spans="2:13" ht="15" customHeight="1" x14ac:dyDescent="0.2">
      <c r="F20"/>
      <c r="H20"/>
      <c r="J20"/>
      <c r="L20"/>
      <c r="M20"/>
    </row>
    <row r="21" spans="2:13" ht="15" customHeight="1" x14ac:dyDescent="0.2">
      <c r="F21"/>
      <c r="H21"/>
      <c r="J21"/>
      <c r="L21"/>
      <c r="M21"/>
    </row>
    <row r="22" spans="2:13" ht="15" customHeight="1" x14ac:dyDescent="0.2">
      <c r="F22"/>
      <c r="H22"/>
      <c r="J22"/>
      <c r="L22"/>
      <c r="M22"/>
    </row>
    <row r="23" spans="2:13" ht="15" customHeight="1" x14ac:dyDescent="0.2">
      <c r="F23"/>
      <c r="H23"/>
      <c r="J23"/>
      <c r="L23"/>
      <c r="M23"/>
    </row>
    <row r="24" spans="2:13" ht="15" customHeight="1" x14ac:dyDescent="0.2">
      <c r="F24"/>
      <c r="H24"/>
      <c r="J24"/>
      <c r="L24"/>
      <c r="M24"/>
    </row>
    <row r="25" spans="2:13" ht="15" customHeight="1" x14ac:dyDescent="0.2">
      <c r="F25"/>
      <c r="H25"/>
      <c r="J25"/>
      <c r="L25"/>
      <c r="M25"/>
    </row>
    <row r="26" spans="2:13" ht="15" customHeight="1" x14ac:dyDescent="0.2">
      <c r="F26"/>
      <c r="H26"/>
      <c r="J26"/>
      <c r="L26"/>
      <c r="M26"/>
    </row>
    <row r="27" spans="2:13" ht="15" customHeight="1" x14ac:dyDescent="0.2">
      <c r="F27"/>
      <c r="H27"/>
      <c r="J27"/>
      <c r="L27"/>
      <c r="M27"/>
    </row>
    <row r="28" spans="2:13" ht="15" customHeight="1" x14ac:dyDescent="0.2">
      <c r="F28"/>
      <c r="H28"/>
      <c r="J28"/>
      <c r="L28"/>
      <c r="M28"/>
    </row>
    <row r="29" spans="2:13" ht="15" customHeight="1" x14ac:dyDescent="0.2">
      <c r="F29"/>
      <c r="H29"/>
      <c r="J29"/>
      <c r="L29"/>
      <c r="M29"/>
    </row>
    <row r="30" spans="2:13" ht="15" customHeight="1" x14ac:dyDescent="0.2">
      <c r="F30"/>
      <c r="H30"/>
      <c r="J30"/>
      <c r="L30"/>
      <c r="M30"/>
    </row>
    <row r="31" spans="2:13" ht="15" customHeight="1" x14ac:dyDescent="0.2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22"/>
  <sheetViews>
    <sheetView zoomScaleNormal="100" workbookViewId="0">
      <selection activeCell="E30" sqref="E30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.75" thickBot="1" x14ac:dyDescent="0.3">
      <c r="A1" s="7" t="s">
        <v>557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57784103.840000004</v>
      </c>
      <c r="D5" s="233">
        <v>56215226.530000001</v>
      </c>
      <c r="E5" s="33">
        <v>44041333.380000003</v>
      </c>
      <c r="F5" s="49">
        <f>+E5/D5</f>
        <v>0.7834413574140231</v>
      </c>
      <c r="G5" s="33">
        <v>43862046.789999999</v>
      </c>
      <c r="H5" s="49">
        <f>G5/D5</f>
        <v>0.7802520686560328</v>
      </c>
      <c r="I5" s="33">
        <v>43856598.210000001</v>
      </c>
      <c r="J5" s="170">
        <f>I5/D5</f>
        <v>0.78015514509392481</v>
      </c>
      <c r="K5" s="33">
        <v>52210454.640000001</v>
      </c>
      <c r="L5" s="53">
        <v>0.88197413791933932</v>
      </c>
      <c r="M5" s="238">
        <f>+I5/K5-1</f>
        <v>-0.16000351821491055</v>
      </c>
    </row>
    <row r="6" spans="1:13" ht="15" customHeight="1" x14ac:dyDescent="0.2">
      <c r="A6" s="23">
        <v>2</v>
      </c>
      <c r="B6" s="23" t="s">
        <v>1</v>
      </c>
      <c r="C6" s="177">
        <v>69877823.049999997</v>
      </c>
      <c r="D6" s="233">
        <v>67681596.189999998</v>
      </c>
      <c r="E6" s="33">
        <v>64017632.390000001</v>
      </c>
      <c r="F6" s="49">
        <f>+E6/D6</f>
        <v>0.94586469577764853</v>
      </c>
      <c r="G6" s="33">
        <v>59803175.950000003</v>
      </c>
      <c r="H6" s="49">
        <f>G6/D6</f>
        <v>0.88359582687909421</v>
      </c>
      <c r="I6" s="33">
        <v>49003377.990000002</v>
      </c>
      <c r="J6" s="170">
        <f>I6/D6</f>
        <v>0.72402810732233125</v>
      </c>
      <c r="K6" s="33">
        <v>47291334.850000001</v>
      </c>
      <c r="L6" s="53">
        <v>0.71591200676546918</v>
      </c>
      <c r="M6" s="239">
        <f>+I6/K6-1</f>
        <v>3.6202047276320481E-2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79" t="s">
        <v>129</v>
      </c>
      <c r="G7" s="33"/>
      <c r="H7" s="49" t="s">
        <v>129</v>
      </c>
      <c r="I7" s="33"/>
      <c r="J7" s="170" t="s">
        <v>129</v>
      </c>
      <c r="K7" s="33"/>
      <c r="L7" s="53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54620430.890000001</v>
      </c>
      <c r="D8" s="233">
        <v>65844239.350000001</v>
      </c>
      <c r="E8" s="33">
        <v>64242435.280000001</v>
      </c>
      <c r="F8" s="86">
        <f>+E8/D8</f>
        <v>0.97567282900049179</v>
      </c>
      <c r="G8" s="33">
        <v>63469049.619999997</v>
      </c>
      <c r="H8" s="456">
        <f>G8/D8</f>
        <v>0.96392714452399542</v>
      </c>
      <c r="I8" s="33">
        <v>59629623.450000003</v>
      </c>
      <c r="J8" s="458">
        <f>I8/D8</f>
        <v>0.90561640682086486</v>
      </c>
      <c r="K8" s="33">
        <v>51599118.830000006</v>
      </c>
      <c r="L8" s="53">
        <v>0.90815728894255821</v>
      </c>
      <c r="M8" s="529">
        <f>+I8/K8-1</f>
        <v>0.15563259222424963</v>
      </c>
    </row>
    <row r="9" spans="1:13" ht="15" customHeight="1" x14ac:dyDescent="0.2">
      <c r="A9" s="9"/>
      <c r="B9" s="2" t="s">
        <v>4</v>
      </c>
      <c r="C9" s="179">
        <f>SUM(C5:C8)</f>
        <v>182282357.78</v>
      </c>
      <c r="D9" s="169">
        <f t="shared" ref="D9:G9" si="0">SUM(D5:D8)</f>
        <v>189741062.06999999</v>
      </c>
      <c r="E9" s="92">
        <f t="shared" si="0"/>
        <v>172301401.05000001</v>
      </c>
      <c r="F9" s="98">
        <f>+E9/D9</f>
        <v>0.90808704858220901</v>
      </c>
      <c r="G9" s="92">
        <f t="shared" si="0"/>
        <v>167134272.36000001</v>
      </c>
      <c r="H9" s="98">
        <f>G9/D9</f>
        <v>0.88085452108590079</v>
      </c>
      <c r="I9" s="92">
        <f>SUM(I5:I8)</f>
        <v>152489599.65000001</v>
      </c>
      <c r="J9" s="188">
        <f>I9/D9</f>
        <v>0.80367210969728298</v>
      </c>
      <c r="K9" s="92">
        <f>SUM(K5:K8)</f>
        <v>151100908.32000002</v>
      </c>
      <c r="L9" s="44">
        <v>0.83</v>
      </c>
      <c r="M9" s="161">
        <f>+I9/K9-1</f>
        <v>9.190489623391418E-3</v>
      </c>
    </row>
    <row r="10" spans="1:13" ht="15" customHeight="1" x14ac:dyDescent="0.2">
      <c r="A10" s="89">
        <v>6</v>
      </c>
      <c r="B10" s="89" t="s">
        <v>5</v>
      </c>
      <c r="C10" s="177">
        <v>5332708.5599999996</v>
      </c>
      <c r="D10" s="233">
        <v>10883177.84</v>
      </c>
      <c r="E10" s="33">
        <v>10286396.67</v>
      </c>
      <c r="F10" s="278">
        <f>+E10/D10</f>
        <v>0.94516480583395479</v>
      </c>
      <c r="G10" s="90">
        <v>10152199.65</v>
      </c>
      <c r="H10" s="409">
        <f t="shared" ref="H10:H11" si="1">G10/D10</f>
        <v>0.93283412246436292</v>
      </c>
      <c r="I10" s="90">
        <v>8985932.3800000008</v>
      </c>
      <c r="J10" s="512">
        <f t="shared" ref="J10:J11" si="2">I10/D10</f>
        <v>0.82567173964328056</v>
      </c>
      <c r="K10" s="33">
        <v>11986842.75</v>
      </c>
      <c r="L10" s="53">
        <v>0.70496320076457286</v>
      </c>
      <c r="M10" s="283">
        <f>+I10/K10-1</f>
        <v>-0.250350357686973</v>
      </c>
    </row>
    <row r="11" spans="1:13" ht="15" customHeight="1" x14ac:dyDescent="0.2">
      <c r="A11" s="59">
        <v>7</v>
      </c>
      <c r="B11" s="59" t="s">
        <v>6</v>
      </c>
      <c r="C11" s="177">
        <v>0</v>
      </c>
      <c r="D11" s="233">
        <v>2084863.21</v>
      </c>
      <c r="E11" s="33">
        <v>1475000</v>
      </c>
      <c r="F11" s="278">
        <f>+E11/D11</f>
        <v>0.70748046822697785</v>
      </c>
      <c r="G11" s="60">
        <v>1475000</v>
      </c>
      <c r="H11" s="279">
        <f t="shared" si="1"/>
        <v>0.70748046822697785</v>
      </c>
      <c r="I11" s="60">
        <v>1475000</v>
      </c>
      <c r="J11" s="222">
        <f t="shared" si="2"/>
        <v>0.70748046822697785</v>
      </c>
      <c r="K11" s="33">
        <v>1566641.8</v>
      </c>
      <c r="L11" s="55">
        <v>0.81578430209604003</v>
      </c>
      <c r="M11" s="283">
        <f>+I11/K11-1</f>
        <v>-5.8495694421022093E-2</v>
      </c>
    </row>
    <row r="12" spans="1:13" ht="15" customHeight="1" x14ac:dyDescent="0.2">
      <c r="A12" s="9"/>
      <c r="B12" s="2" t="s">
        <v>7</v>
      </c>
      <c r="C12" s="179">
        <f>SUM(C10:C11)</f>
        <v>5332708.5599999996</v>
      </c>
      <c r="D12" s="169">
        <f t="shared" ref="D12:I12" si="3">SUM(D10:D11)</f>
        <v>12968041.050000001</v>
      </c>
      <c r="E12" s="92">
        <f t="shared" si="3"/>
        <v>11761396.67</v>
      </c>
      <c r="F12" s="98">
        <f>+E12/D12</f>
        <v>0.90695245524380874</v>
      </c>
      <c r="G12" s="92">
        <f t="shared" si="3"/>
        <v>11627199.65</v>
      </c>
      <c r="H12" s="98">
        <f>G12/D12</f>
        <v>0.8966041675199663</v>
      </c>
      <c r="I12" s="92">
        <f t="shared" si="3"/>
        <v>10460932.380000001</v>
      </c>
      <c r="J12" s="188">
        <f>I12/D12</f>
        <v>0.80667020868198136</v>
      </c>
      <c r="K12" s="92">
        <f>SUM(K10:K11)</f>
        <v>13553484.550000001</v>
      </c>
      <c r="L12" s="44">
        <v>0.71599999999999997</v>
      </c>
      <c r="M12" s="242">
        <f>+I12/K12-1</f>
        <v>-0.22817395471926805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93" t="s">
        <v>129</v>
      </c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487" t="s">
        <v>129</v>
      </c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4">SUM(D13:D14)</f>
        <v>0</v>
      </c>
      <c r="E15" s="92">
        <f t="shared" si="4"/>
        <v>0</v>
      </c>
      <c r="F15" s="62" t="s">
        <v>129</v>
      </c>
      <c r="G15" s="92">
        <f t="shared" si="4"/>
        <v>0</v>
      </c>
      <c r="H15" s="62" t="s">
        <v>129</v>
      </c>
      <c r="I15" s="92">
        <f t="shared" si="4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187615066.34</v>
      </c>
      <c r="D16" s="171">
        <f>+D9+D12+D15</f>
        <v>202709103.12</v>
      </c>
      <c r="E16" s="172">
        <f t="shared" ref="E16:I16" si="5">+E9+E12+E15</f>
        <v>184062797.72</v>
      </c>
      <c r="F16" s="199">
        <f>+E16/D16</f>
        <v>0.9080144645060082</v>
      </c>
      <c r="G16" s="172">
        <f t="shared" si="5"/>
        <v>178761472.01000002</v>
      </c>
      <c r="H16" s="199">
        <f>G16/D16</f>
        <v>0.88186208344169215</v>
      </c>
      <c r="I16" s="172">
        <f t="shared" si="5"/>
        <v>162950532.03</v>
      </c>
      <c r="J16" s="191">
        <f>I16/D16</f>
        <v>0.80386390902995775</v>
      </c>
      <c r="K16" s="164">
        <f>K9+K12+K15</f>
        <v>164654392.87000003</v>
      </c>
      <c r="L16" s="208">
        <v>0.81899999999999995</v>
      </c>
      <c r="M16" s="246">
        <f>+I16/K16-1</f>
        <v>-1.034810435543787E-2</v>
      </c>
    </row>
    <row r="17" spans="4:10" x14ac:dyDescent="0.2">
      <c r="F17" s="526"/>
      <c r="H17" s="526"/>
      <c r="J17" s="526"/>
    </row>
    <row r="18" spans="4:10" x14ac:dyDescent="0.2">
      <c r="F18" s="526"/>
      <c r="H18" s="526"/>
    </row>
    <row r="22" spans="4:10" x14ac:dyDescent="0.2">
      <c r="D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42578125" customWidth="1"/>
    <col min="3" max="3" width="11.28515625" bestFit="1" customWidth="1"/>
    <col min="4" max="4" width="12.7109375" style="47" bestFit="1" customWidth="1"/>
    <col min="5" max="5" width="10.85546875" style="47" customWidth="1"/>
    <col min="6" max="6" width="6.28515625" style="105" customWidth="1"/>
    <col min="7" max="7" width="10" style="47" customWidth="1"/>
    <col min="8" max="8" width="7.42578125" style="105" bestFit="1" customWidth="1"/>
    <col min="9" max="9" width="11.5703125" style="47" bestFit="1" customWidth="1"/>
    <col min="10" max="10" width="7.42578125" style="105" bestFit="1" customWidth="1"/>
    <col min="11" max="11" width="11.7109375" style="47" customWidth="1"/>
    <col min="12" max="12" width="6.28515625" style="105" customWidth="1"/>
    <col min="13" max="13" width="8" style="105" customWidth="1"/>
    <col min="14" max="14" width="3.7109375" customWidth="1"/>
  </cols>
  <sheetData>
    <row r="1" spans="1:13" ht="15" x14ac:dyDescent="0.25">
      <c r="A1" s="7" t="s">
        <v>557</v>
      </c>
    </row>
    <row r="2" spans="1:13" x14ac:dyDescent="0.2">
      <c r="A2" s="8"/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17" spans="4:10" x14ac:dyDescent="0.2">
      <c r="F17" s="526"/>
      <c r="H17" s="526"/>
      <c r="J17" s="526"/>
    </row>
    <row r="18" spans="4:10" x14ac:dyDescent="0.2">
      <c r="F18" s="526"/>
      <c r="H18" s="526"/>
    </row>
    <row r="22" spans="4:10" x14ac:dyDescent="0.2">
      <c r="D22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M22"/>
  <sheetViews>
    <sheetView zoomScaleNormal="100" workbookViewId="0">
      <selection activeCell="M22" sqref="M2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.75" thickBot="1" x14ac:dyDescent="0.3">
      <c r="A1" s="7" t="s">
        <v>558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13087648.619999999</v>
      </c>
      <c r="D5" s="233">
        <v>13275918.9</v>
      </c>
      <c r="E5" s="33">
        <v>11720282.93</v>
      </c>
      <c r="F5" s="49">
        <f>E5/D5</f>
        <v>0.88282272724639799</v>
      </c>
      <c r="G5" s="33">
        <v>11720282.93</v>
      </c>
      <c r="H5" s="49">
        <f>G5/D5</f>
        <v>0.88282272724639799</v>
      </c>
      <c r="I5" s="33">
        <v>11720282.93</v>
      </c>
      <c r="J5" s="170">
        <f>I5/D5</f>
        <v>0.88282272724639799</v>
      </c>
      <c r="K5" s="31">
        <v>12125223.83</v>
      </c>
      <c r="L5" s="53">
        <v>0.89022891503030455</v>
      </c>
      <c r="M5" s="238">
        <f>+I5/K5-1</f>
        <v>-3.3396571121277252E-2</v>
      </c>
    </row>
    <row r="6" spans="1:13" ht="15" customHeight="1" x14ac:dyDescent="0.2">
      <c r="A6" s="23">
        <v>2</v>
      </c>
      <c r="B6" s="23" t="s">
        <v>1</v>
      </c>
      <c r="C6" s="177">
        <v>76489858.340000004</v>
      </c>
      <c r="D6" s="233">
        <v>69155528.400000006</v>
      </c>
      <c r="E6" s="33">
        <v>66824408.240000002</v>
      </c>
      <c r="F6" s="49">
        <f>E6/D6</f>
        <v>0.96629162969420668</v>
      </c>
      <c r="G6" s="33">
        <v>65039403.729999997</v>
      </c>
      <c r="H6" s="49">
        <f>G6/D6</f>
        <v>0.94048017902210101</v>
      </c>
      <c r="I6" s="33">
        <v>49909984.950000003</v>
      </c>
      <c r="J6" s="170">
        <f>I6/D6</f>
        <v>0.72170636397017252</v>
      </c>
      <c r="K6" s="31">
        <v>48280980.82</v>
      </c>
      <c r="L6" s="53">
        <v>0.74126412728241386</v>
      </c>
      <c r="M6" s="238">
        <f>+I6/K6-1</f>
        <v>3.3740079475046647E-2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129</v>
      </c>
      <c r="G7" s="33"/>
      <c r="H7" s="49" t="s">
        <v>129</v>
      </c>
      <c r="I7" s="33"/>
      <c r="J7" s="170" t="s">
        <v>129</v>
      </c>
      <c r="K7" s="393"/>
      <c r="L7" s="53" t="s">
        <v>129</v>
      </c>
      <c r="M7" s="240" t="s">
        <v>129</v>
      </c>
    </row>
    <row r="8" spans="1:13" ht="15" customHeight="1" x14ac:dyDescent="0.2">
      <c r="A8" s="25">
        <v>4</v>
      </c>
      <c r="B8" s="534" t="s">
        <v>3</v>
      </c>
      <c r="C8" s="177">
        <v>112844701.16</v>
      </c>
      <c r="D8" s="475">
        <v>158435669.30000001</v>
      </c>
      <c r="E8" s="476">
        <v>144657162.34</v>
      </c>
      <c r="F8" s="492">
        <f>+E8/D8</f>
        <v>0.91303405968569973</v>
      </c>
      <c r="G8" s="476">
        <v>144130327.94</v>
      </c>
      <c r="H8" s="492">
        <f>G8/D8</f>
        <v>0.90970883372914801</v>
      </c>
      <c r="I8" s="476">
        <v>137065730.78</v>
      </c>
      <c r="J8" s="170">
        <f t="shared" ref="J8" si="0">I8/D8</f>
        <v>0.86511914511159882</v>
      </c>
      <c r="K8" s="475">
        <v>107487407.61</v>
      </c>
      <c r="L8" s="394">
        <v>0.94404755747355551</v>
      </c>
      <c r="M8" s="529">
        <f>+I8/K8-1</f>
        <v>0.27517942638750736</v>
      </c>
    </row>
    <row r="9" spans="1:13" ht="15" customHeight="1" x14ac:dyDescent="0.2">
      <c r="A9" s="59">
        <v>5</v>
      </c>
      <c r="B9" s="59" t="s">
        <v>464</v>
      </c>
      <c r="C9" s="177">
        <v>2850236.89</v>
      </c>
      <c r="D9" s="232">
        <v>0</v>
      </c>
      <c r="E9" s="31">
        <v>0</v>
      </c>
      <c r="F9" s="86" t="s">
        <v>129</v>
      </c>
      <c r="G9" s="31">
        <v>0</v>
      </c>
      <c r="H9" s="86" t="s">
        <v>129</v>
      </c>
      <c r="I9" s="31">
        <v>0</v>
      </c>
      <c r="J9" s="190" t="s">
        <v>129</v>
      </c>
      <c r="K9" s="247">
        <v>0</v>
      </c>
      <c r="L9" s="61"/>
      <c r="M9" s="283" t="s">
        <v>129</v>
      </c>
    </row>
    <row r="10" spans="1:13" ht="15" customHeight="1" x14ac:dyDescent="0.2">
      <c r="A10" s="9"/>
      <c r="B10" s="2" t="s">
        <v>4</v>
      </c>
      <c r="C10" s="179">
        <f>SUM(C5:C9)</f>
        <v>205272445.00999999</v>
      </c>
      <c r="D10" s="169">
        <f>SUM(D5:D9)</f>
        <v>240867116.60000002</v>
      </c>
      <c r="E10" s="92">
        <f>SUM(E5:E9)</f>
        <v>223201853.50999999</v>
      </c>
      <c r="F10" s="98">
        <f>E10/D10</f>
        <v>0.92665971453738893</v>
      </c>
      <c r="G10" s="92">
        <f>SUM(G5:G9)</f>
        <v>220890014.59999999</v>
      </c>
      <c r="H10" s="98">
        <f>G10/D10</f>
        <v>0.91706172979529066</v>
      </c>
      <c r="I10" s="92">
        <f>SUM(I5:I9)</f>
        <v>198695998.66</v>
      </c>
      <c r="J10" s="188">
        <f>I10/D10</f>
        <v>0.82491957169050933</v>
      </c>
      <c r="K10" s="92">
        <f>SUM(K5:K9)</f>
        <v>167893612.25999999</v>
      </c>
      <c r="L10" s="44">
        <v>0.871</v>
      </c>
      <c r="M10" s="242">
        <f>+I10/K10-1</f>
        <v>0.18346371839507181</v>
      </c>
    </row>
    <row r="11" spans="1:13" ht="15" customHeight="1" x14ac:dyDescent="0.2">
      <c r="A11" s="21">
        <v>6</v>
      </c>
      <c r="B11" s="21" t="s">
        <v>5</v>
      </c>
      <c r="C11" s="177">
        <v>60520</v>
      </c>
      <c r="D11" s="35">
        <v>1419601.79</v>
      </c>
      <c r="E11" s="35">
        <v>1199136.21</v>
      </c>
      <c r="F11" s="49">
        <f>E11/D11</f>
        <v>0.84469899830148842</v>
      </c>
      <c r="G11" s="31">
        <v>1139241.21</v>
      </c>
      <c r="H11" s="49">
        <f>G11/D11</f>
        <v>0.80250758911764963</v>
      </c>
      <c r="I11" s="31">
        <v>634725.34</v>
      </c>
      <c r="J11" s="170">
        <f>I11/D11</f>
        <v>0.44711506034378834</v>
      </c>
      <c r="K11" s="393">
        <v>1561269.16</v>
      </c>
      <c r="L11" s="394">
        <v>0.41630971840625586</v>
      </c>
      <c r="M11" s="280">
        <f>+I11/K11-1</f>
        <v>-0.59345553203651313</v>
      </c>
    </row>
    <row r="12" spans="1:13" ht="15" customHeight="1" x14ac:dyDescent="0.2">
      <c r="A12" s="25">
        <v>7</v>
      </c>
      <c r="B12" s="25" t="s">
        <v>6</v>
      </c>
      <c r="C12" s="178">
        <v>0</v>
      </c>
      <c r="D12" s="234">
        <v>487569.86</v>
      </c>
      <c r="E12" s="35">
        <v>318084.15000000002</v>
      </c>
      <c r="F12" s="49">
        <f>E12/D12</f>
        <v>0.65238681898836004</v>
      </c>
      <c r="G12" s="60">
        <v>118084.15</v>
      </c>
      <c r="H12" s="49" t="s">
        <v>129</v>
      </c>
      <c r="I12" s="60">
        <v>0</v>
      </c>
      <c r="J12" s="190" t="s">
        <v>129</v>
      </c>
      <c r="K12" s="487">
        <v>299103.43</v>
      </c>
      <c r="L12" s="394">
        <v>0.53882700345868562</v>
      </c>
      <c r="M12" s="280" t="s">
        <v>129</v>
      </c>
    </row>
    <row r="13" spans="1:13" ht="15" customHeight="1" x14ac:dyDescent="0.2">
      <c r="A13" s="9"/>
      <c r="B13" s="2" t="s">
        <v>7</v>
      </c>
      <c r="C13" s="179">
        <f>SUM(C11:C12)</f>
        <v>60520</v>
      </c>
      <c r="D13" s="169">
        <f t="shared" ref="D13:I13" si="1">SUM(D11:D12)</f>
        <v>1907171.65</v>
      </c>
      <c r="E13" s="92">
        <f t="shared" si="1"/>
        <v>1517220.3599999999</v>
      </c>
      <c r="F13" s="98">
        <f>E13/D13</f>
        <v>0.79553424569833553</v>
      </c>
      <c r="G13" s="92">
        <f t="shared" si="1"/>
        <v>1257325.3599999999</v>
      </c>
      <c r="H13" s="98">
        <f>G13/D13</f>
        <v>0.65926177122022545</v>
      </c>
      <c r="I13" s="92">
        <f t="shared" si="1"/>
        <v>634725.34</v>
      </c>
      <c r="J13" s="188">
        <f>I13/D13</f>
        <v>0.33280976046387856</v>
      </c>
      <c r="K13" s="92">
        <f>SUM(K11:K12)</f>
        <v>1860372.5899999999</v>
      </c>
      <c r="L13" s="44">
        <v>0.432</v>
      </c>
      <c r="M13" s="242">
        <f>+I13/K13-1</f>
        <v>-0.65881816179628827</v>
      </c>
    </row>
    <row r="14" spans="1:13" ht="15" customHeight="1" x14ac:dyDescent="0.2">
      <c r="A14" s="21">
        <v>8</v>
      </c>
      <c r="B14" s="21" t="s">
        <v>8</v>
      </c>
      <c r="C14" s="176"/>
      <c r="D14" s="232"/>
      <c r="E14" s="31"/>
      <c r="F14" s="94" t="s">
        <v>129</v>
      </c>
      <c r="G14" s="31"/>
      <c r="H14" s="94" t="s">
        <v>129</v>
      </c>
      <c r="I14" s="31"/>
      <c r="J14" s="251" t="s">
        <v>129</v>
      </c>
      <c r="K14" s="393" t="s">
        <v>129</v>
      </c>
      <c r="L14" s="57" t="s">
        <v>129</v>
      </c>
      <c r="M14" s="243" t="s">
        <v>129</v>
      </c>
    </row>
    <row r="15" spans="1:13" ht="15" customHeight="1" x14ac:dyDescent="0.2">
      <c r="A15" s="25">
        <v>9</v>
      </c>
      <c r="B15" s="25" t="s">
        <v>9</v>
      </c>
      <c r="C15" s="178"/>
      <c r="D15" s="234"/>
      <c r="E15" s="35"/>
      <c r="F15" s="50" t="s">
        <v>129</v>
      </c>
      <c r="G15" s="35"/>
      <c r="H15" s="50" t="s">
        <v>129</v>
      </c>
      <c r="I15" s="35"/>
      <c r="J15" s="252" t="s">
        <v>129</v>
      </c>
      <c r="K15" s="487" t="s">
        <v>129</v>
      </c>
      <c r="L15" s="56" t="s">
        <v>129</v>
      </c>
      <c r="M15" s="244" t="s">
        <v>129</v>
      </c>
    </row>
    <row r="16" spans="1:13" ht="15" customHeight="1" thickBot="1" x14ac:dyDescent="0.25">
      <c r="A16" s="9"/>
      <c r="B16" s="2" t="s">
        <v>10</v>
      </c>
      <c r="C16" s="179">
        <f>SUM(C14:C15)</f>
        <v>0</v>
      </c>
      <c r="D16" s="169">
        <f t="shared" ref="D16:I16" si="2">SUM(D14:D15)</f>
        <v>0</v>
      </c>
      <c r="E16" s="92">
        <f t="shared" si="2"/>
        <v>0</v>
      </c>
      <c r="F16" s="62" t="s">
        <v>129</v>
      </c>
      <c r="G16" s="92">
        <f t="shared" si="2"/>
        <v>0</v>
      </c>
      <c r="H16" s="62" t="s">
        <v>129</v>
      </c>
      <c r="I16" s="92">
        <f t="shared" si="2"/>
        <v>0</v>
      </c>
      <c r="J16" s="253" t="s">
        <v>129</v>
      </c>
      <c r="K16" s="92">
        <f>SUM(K14:K15)</f>
        <v>0</v>
      </c>
      <c r="L16" s="107" t="s">
        <v>129</v>
      </c>
      <c r="M16" s="245" t="s">
        <v>129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205332965.00999999</v>
      </c>
      <c r="D17" s="171">
        <f t="shared" ref="D17:I17" si="3">+D10+D13+D16</f>
        <v>242774288.25000003</v>
      </c>
      <c r="E17" s="172">
        <f t="shared" si="3"/>
        <v>224719073.87</v>
      </c>
      <c r="F17" s="199">
        <f>E17/D17</f>
        <v>0.92562962696689099</v>
      </c>
      <c r="G17" s="172">
        <f t="shared" si="3"/>
        <v>222147339.96000001</v>
      </c>
      <c r="H17" s="199">
        <f>G17/D17</f>
        <v>0.91503652038819228</v>
      </c>
      <c r="I17" s="172">
        <f t="shared" si="3"/>
        <v>199330724</v>
      </c>
      <c r="J17" s="191">
        <f>I17/D17</f>
        <v>0.82105368503742271</v>
      </c>
      <c r="K17" s="381">
        <f>K10+K13+K16</f>
        <v>169753984.84999999</v>
      </c>
      <c r="L17" s="382">
        <v>0.86099999999999999</v>
      </c>
      <c r="M17" s="246">
        <f>+I17/K17-1</f>
        <v>0.17423295939788952</v>
      </c>
    </row>
    <row r="22" spans="1:13" x14ac:dyDescent="0.2">
      <c r="E22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28515625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8" style="105" bestFit="1" customWidth="1"/>
    <col min="9" max="9" width="11.5703125" style="47" bestFit="1" customWidth="1"/>
    <col min="10" max="10" width="7.140625" style="105" bestFit="1" customWidth="1"/>
    <col min="11" max="11" width="11.5703125" style="47" bestFit="1" customWidth="1"/>
    <col min="12" max="12" width="6.28515625" style="105" customWidth="1"/>
    <col min="13" max="13" width="8" style="105" bestFit="1" customWidth="1"/>
    <col min="14" max="14" width="4.7109375" customWidth="1"/>
  </cols>
  <sheetData>
    <row r="1" spans="1:13" ht="15" x14ac:dyDescent="0.25">
      <c r="A1" s="7" t="s">
        <v>558</v>
      </c>
    </row>
    <row r="2" spans="1:13" ht="15" x14ac:dyDescent="0.25">
      <c r="A2" s="7"/>
    </row>
    <row r="3" spans="1:13" ht="15" x14ac:dyDescent="0.25">
      <c r="A3" s="7"/>
    </row>
    <row r="4" spans="1:13" x14ac:dyDescent="0.2">
      <c r="A4" s="8"/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15" customHeight="1" x14ac:dyDescent="0.2">
      <c r="D18"/>
      <c r="E18"/>
      <c r="F18"/>
      <c r="G18"/>
      <c r="H18"/>
      <c r="I18"/>
      <c r="J18"/>
      <c r="K18"/>
      <c r="L18"/>
      <c r="M18"/>
    </row>
    <row r="19" spans="4:13" ht="15" customHeight="1" x14ac:dyDescent="0.2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5" spans="4:13" x14ac:dyDescent="0.2">
      <c r="E25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30"/>
  <sheetViews>
    <sheetView workbookViewId="0">
      <selection activeCell="H6" sqref="H6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4" ht="15.75" thickBot="1" x14ac:dyDescent="0.3">
      <c r="A1" s="7" t="s">
        <v>41</v>
      </c>
    </row>
    <row r="2" spans="1:14" x14ac:dyDescent="0.2">
      <c r="A2" s="8" t="s">
        <v>20</v>
      </c>
      <c r="C2" s="429" t="s">
        <v>479</v>
      </c>
      <c r="D2" s="296"/>
      <c r="E2" s="585" t="s">
        <v>551</v>
      </c>
      <c r="F2" s="586"/>
      <c r="G2" s="587"/>
      <c r="H2" s="587"/>
      <c r="I2" s="587"/>
      <c r="J2" s="587"/>
      <c r="K2" s="588"/>
      <c r="L2" s="583" t="s">
        <v>552</v>
      </c>
      <c r="M2" s="584"/>
      <c r="N2" s="155"/>
    </row>
    <row r="3" spans="1:14" x14ac:dyDescent="0.2">
      <c r="C3" s="174">
        <v>1</v>
      </c>
      <c r="D3" s="297"/>
      <c r="E3" s="165">
        <v>2</v>
      </c>
      <c r="F3" s="95"/>
      <c r="G3" s="95">
        <v>3</v>
      </c>
      <c r="H3" s="95"/>
      <c r="I3" s="96" t="s">
        <v>36</v>
      </c>
      <c r="J3" s="95">
        <v>4</v>
      </c>
      <c r="K3" s="166" t="s">
        <v>46</v>
      </c>
      <c r="L3" s="95" t="s">
        <v>47</v>
      </c>
      <c r="M3" s="16" t="s">
        <v>48</v>
      </c>
      <c r="N3" s="156" t="s">
        <v>360</v>
      </c>
    </row>
    <row r="4" spans="1:14" ht="30" customHeight="1" x14ac:dyDescent="0.2">
      <c r="A4" s="1"/>
      <c r="B4" s="2" t="s">
        <v>12</v>
      </c>
      <c r="C4" s="175" t="s">
        <v>44</v>
      </c>
      <c r="D4" s="298" t="s">
        <v>441</v>
      </c>
      <c r="E4" s="127" t="s">
        <v>45</v>
      </c>
      <c r="F4" s="97" t="s">
        <v>442</v>
      </c>
      <c r="G4" s="97" t="s">
        <v>133</v>
      </c>
      <c r="H4" s="97" t="s">
        <v>443</v>
      </c>
      <c r="I4" s="97" t="s">
        <v>18</v>
      </c>
      <c r="J4" s="97" t="s">
        <v>414</v>
      </c>
      <c r="K4" s="128" t="s">
        <v>18</v>
      </c>
      <c r="L4" s="97" t="s">
        <v>133</v>
      </c>
      <c r="M4" s="12" t="s">
        <v>18</v>
      </c>
      <c r="N4" s="157" t="s">
        <v>516</v>
      </c>
    </row>
    <row r="5" spans="1:14" ht="15" customHeight="1" x14ac:dyDescent="0.2">
      <c r="A5" s="21">
        <v>1</v>
      </c>
      <c r="B5" s="21" t="s">
        <v>49</v>
      </c>
      <c r="C5" s="225">
        <v>943767320</v>
      </c>
      <c r="D5" s="300">
        <f>C5/$C$18</f>
        <v>0.37002266754900592</v>
      </c>
      <c r="E5" s="232">
        <v>943767320</v>
      </c>
      <c r="F5" s="302">
        <f>E5/$E$18</f>
        <v>0.35016247199954531</v>
      </c>
      <c r="G5" s="31">
        <v>834350808.16999996</v>
      </c>
      <c r="H5" s="302">
        <f>G5/$G$18</f>
        <v>0.37428737738761619</v>
      </c>
      <c r="I5" s="151">
        <f>G5/E5</f>
        <v>0.88406410191232299</v>
      </c>
      <c r="J5" s="31">
        <v>776320026.88999999</v>
      </c>
      <c r="K5" s="170">
        <f>J5/G5</f>
        <v>0.93044798337610513</v>
      </c>
      <c r="L5" s="153">
        <v>758555050.95000005</v>
      </c>
      <c r="M5" s="49">
        <v>0.8625165266186684</v>
      </c>
      <c r="N5" s="158">
        <f>+G5/L5-1</f>
        <v>9.9921234622424304E-2</v>
      </c>
    </row>
    <row r="6" spans="1:14" ht="15" customHeight="1" x14ac:dyDescent="0.2">
      <c r="A6" s="23">
        <v>2</v>
      </c>
      <c r="B6" s="23" t="s">
        <v>50</v>
      </c>
      <c r="C6" s="225">
        <v>55749790</v>
      </c>
      <c r="D6" s="300">
        <f t="shared" ref="D6:D16" si="0">C6/$C$18</f>
        <v>2.1857809201421483E-2</v>
      </c>
      <c r="E6" s="232">
        <v>55749790</v>
      </c>
      <c r="F6" s="302">
        <f t="shared" ref="F6:F9" si="1">E6/$E$18</f>
        <v>2.068463684444544E-2</v>
      </c>
      <c r="G6" s="31">
        <v>55112731.75</v>
      </c>
      <c r="H6" s="302">
        <f t="shared" ref="H6:H9" si="2">G6/$G$18</f>
        <v>2.4723413251817369E-2</v>
      </c>
      <c r="I6" s="151">
        <f t="shared" ref="I6:I9" si="3">G6/E6</f>
        <v>0.98857290314456792</v>
      </c>
      <c r="J6" s="31">
        <v>49492510.670000002</v>
      </c>
      <c r="K6" s="170">
        <f t="shared" ref="K6:K9" si="4">J6/G6</f>
        <v>0.89802318082336763</v>
      </c>
      <c r="L6" s="150">
        <v>49777275.259999998</v>
      </c>
      <c r="M6" s="49">
        <v>1.0124880342682117</v>
      </c>
      <c r="N6" s="159">
        <f t="shared" ref="N6:N18" si="5">+G6/L6-1</f>
        <v>0.10718659191632107</v>
      </c>
    </row>
    <row r="7" spans="1:14" ht="15" customHeight="1" x14ac:dyDescent="0.2">
      <c r="A7" s="23">
        <v>3</v>
      </c>
      <c r="B7" s="23" t="s">
        <v>51</v>
      </c>
      <c r="C7" s="225">
        <v>260080061.91999999</v>
      </c>
      <c r="D7" s="300">
        <f t="shared" si="0"/>
        <v>0.10196953872904714</v>
      </c>
      <c r="E7" s="232">
        <v>260230716.75999999</v>
      </c>
      <c r="F7" s="302">
        <f t="shared" si="1"/>
        <v>9.6552433147287939E-2</v>
      </c>
      <c r="G7" s="31">
        <v>220476572.03999999</v>
      </c>
      <c r="H7" s="302">
        <f t="shared" si="2"/>
        <v>9.890515729859467E-2</v>
      </c>
      <c r="I7" s="151">
        <f t="shared" si="3"/>
        <v>0.84723500278922259</v>
      </c>
      <c r="J7" s="31">
        <v>139194518.13999999</v>
      </c>
      <c r="K7" s="170">
        <f t="shared" si="4"/>
        <v>0.63133473480686464</v>
      </c>
      <c r="L7" s="150">
        <v>198673981.63999999</v>
      </c>
      <c r="M7" s="49">
        <v>0.7375704450260937</v>
      </c>
      <c r="N7" s="159">
        <f t="shared" si="5"/>
        <v>0.1097405418667583</v>
      </c>
    </row>
    <row r="8" spans="1:14" ht="15" customHeight="1" x14ac:dyDescent="0.2">
      <c r="A8" s="23">
        <v>4</v>
      </c>
      <c r="B8" s="23" t="s">
        <v>3</v>
      </c>
      <c r="C8" s="225">
        <v>1052676699.58</v>
      </c>
      <c r="D8" s="300">
        <f t="shared" si="0"/>
        <v>0.41272274658257413</v>
      </c>
      <c r="E8" s="232">
        <v>1062736876.64</v>
      </c>
      <c r="F8" s="302">
        <f t="shared" si="1"/>
        <v>0.39430330328596058</v>
      </c>
      <c r="G8" s="31">
        <v>1052944726.58</v>
      </c>
      <c r="H8" s="302">
        <f t="shared" si="2"/>
        <v>0.47234798167229641</v>
      </c>
      <c r="I8" s="151">
        <f t="shared" si="3"/>
        <v>0.9907859129806813</v>
      </c>
      <c r="J8" s="31">
        <v>890532642.63999999</v>
      </c>
      <c r="K8" s="170">
        <f t="shared" si="4"/>
        <v>0.84575440681723157</v>
      </c>
      <c r="L8" s="150">
        <v>963929664.83000004</v>
      </c>
      <c r="M8" s="494">
        <v>0.88057111155424961</v>
      </c>
      <c r="N8" s="159">
        <f>+G8/L8-1</f>
        <v>9.2346013405136596E-2</v>
      </c>
    </row>
    <row r="9" spans="1:14" ht="15" customHeight="1" x14ac:dyDescent="0.2">
      <c r="A9" s="25">
        <v>5</v>
      </c>
      <c r="B9" s="25" t="s">
        <v>42</v>
      </c>
      <c r="C9" s="225">
        <v>42135629</v>
      </c>
      <c r="D9" s="300">
        <f t="shared" si="0"/>
        <v>1.6520107775542865E-2</v>
      </c>
      <c r="E9" s="232">
        <v>42135629</v>
      </c>
      <c r="F9" s="302">
        <f t="shared" si="1"/>
        <v>1.5633425418773484E-2</v>
      </c>
      <c r="G9" s="31">
        <v>33223072.789999999</v>
      </c>
      <c r="H9" s="302">
        <f t="shared" si="2"/>
        <v>1.4903775080653284E-2</v>
      </c>
      <c r="I9" s="151">
        <f t="shared" si="3"/>
        <v>0.78847933633552736</v>
      </c>
      <c r="J9" s="31">
        <v>26650474.59</v>
      </c>
      <c r="K9" s="170">
        <f t="shared" si="4"/>
        <v>0.8021676609642705</v>
      </c>
      <c r="L9" s="154">
        <v>24576946.829999998</v>
      </c>
      <c r="M9" s="49">
        <v>0.78993137382017053</v>
      </c>
      <c r="N9" s="160">
        <f t="shared" si="5"/>
        <v>0.3517982123575274</v>
      </c>
    </row>
    <row r="10" spans="1:14" ht="15" customHeight="1" x14ac:dyDescent="0.2">
      <c r="A10" s="9"/>
      <c r="B10" s="2" t="s">
        <v>4</v>
      </c>
      <c r="C10" s="179">
        <f>SUM(C5:C9)</f>
        <v>2354409500.5</v>
      </c>
      <c r="D10" s="570">
        <f t="shared" si="0"/>
        <v>0.92309286983759153</v>
      </c>
      <c r="E10" s="169">
        <f>SUM(E5:E9)</f>
        <v>2364620332.4000001</v>
      </c>
      <c r="F10" s="303">
        <f>E10/E18</f>
        <v>0.87733627069601272</v>
      </c>
      <c r="G10" s="92">
        <f>SUM(G5:G9)</f>
        <v>2196107911.3299999</v>
      </c>
      <c r="H10" s="303">
        <f>G10/G18</f>
        <v>0.98516770469097792</v>
      </c>
      <c r="I10" s="93">
        <f t="shared" ref="I10:I18" si="6">+G10/E10</f>
        <v>0.92873595022378652</v>
      </c>
      <c r="J10" s="92">
        <f>SUM(J5:J9)</f>
        <v>1882190172.9299998</v>
      </c>
      <c r="K10" s="188">
        <f t="shared" ref="K10:K18" si="7">+J10/G10</f>
        <v>0.85705723440070569</v>
      </c>
      <c r="L10" s="92">
        <f>SUM(L5:L9)</f>
        <v>1995512919.51</v>
      </c>
      <c r="M10" s="44">
        <v>0.85899999999999999</v>
      </c>
      <c r="N10" s="161">
        <f t="shared" si="5"/>
        <v>0.10052302335845376</v>
      </c>
    </row>
    <row r="11" spans="1:14" ht="15" customHeight="1" x14ac:dyDescent="0.2">
      <c r="A11" s="21">
        <v>6</v>
      </c>
      <c r="B11" s="21" t="s">
        <v>43</v>
      </c>
      <c r="C11" s="225">
        <v>500080</v>
      </c>
      <c r="D11" s="300">
        <f t="shared" si="0"/>
        <v>1.9606626725314759E-4</v>
      </c>
      <c r="E11" s="232">
        <v>500080</v>
      </c>
      <c r="F11" s="302">
        <f>E11/E18</f>
        <v>1.8554281896255171E-4</v>
      </c>
      <c r="G11" s="31">
        <v>4786787.6100000003</v>
      </c>
      <c r="H11" s="302">
        <f>G11/G18</f>
        <v>2.1473391804917963E-3</v>
      </c>
      <c r="I11" s="151">
        <f t="shared" si="6"/>
        <v>9.5720436930091193</v>
      </c>
      <c r="J11" s="31">
        <v>3575485.51</v>
      </c>
      <c r="K11" s="170">
        <f>+J11/G11</f>
        <v>0.74694885198802452</v>
      </c>
      <c r="L11" s="153">
        <v>10031162.98</v>
      </c>
      <c r="M11" s="53">
        <v>1.3335588439398574</v>
      </c>
      <c r="N11" s="160">
        <f t="shared" si="5"/>
        <v>-0.52280831050758181</v>
      </c>
    </row>
    <row r="12" spans="1:14" ht="15" customHeight="1" x14ac:dyDescent="0.2">
      <c r="A12" s="25">
        <v>7</v>
      </c>
      <c r="B12" s="25" t="s">
        <v>6</v>
      </c>
      <c r="C12" s="225">
        <v>29106649</v>
      </c>
      <c r="D12" s="300">
        <f t="shared" si="0"/>
        <v>1.1411838149251242E-2</v>
      </c>
      <c r="E12" s="232">
        <v>46943310.509999998</v>
      </c>
      <c r="F12" s="304">
        <f>E12/E18</f>
        <v>1.7417201574667616E-2</v>
      </c>
      <c r="G12" s="31">
        <v>21581439.93</v>
      </c>
      <c r="H12" s="304">
        <f>G12/G18</f>
        <v>9.6813719991054974E-3</v>
      </c>
      <c r="I12" s="152">
        <f t="shared" si="6"/>
        <v>0.45973408554990303</v>
      </c>
      <c r="J12" s="31">
        <v>6893099.9100000001</v>
      </c>
      <c r="K12" s="170">
        <f>+J12/G12</f>
        <v>0.31939944379790974</v>
      </c>
      <c r="L12" s="154">
        <v>10708551.109999999</v>
      </c>
      <c r="M12" s="375">
        <v>0.40247147652294091</v>
      </c>
      <c r="N12" s="159">
        <f t="shared" si="5"/>
        <v>1.0153464001163086</v>
      </c>
    </row>
    <row r="13" spans="1:14" ht="15" customHeight="1" x14ac:dyDescent="0.2">
      <c r="A13" s="9"/>
      <c r="B13" s="2" t="s">
        <v>7</v>
      </c>
      <c r="C13" s="179">
        <f>SUM(C11:C12)</f>
        <v>29606729</v>
      </c>
      <c r="D13" s="570">
        <f t="shared" si="0"/>
        <v>1.160790441650439E-2</v>
      </c>
      <c r="E13" s="169">
        <f>SUM(E11:E12)</f>
        <v>47443390.509999998</v>
      </c>
      <c r="F13" s="303">
        <f>E13/E18</f>
        <v>1.7602744393630167E-2</v>
      </c>
      <c r="G13" s="92">
        <f>SUM(G11:G12)</f>
        <v>26368227.539999999</v>
      </c>
      <c r="H13" s="303">
        <f>G13/G18</f>
        <v>1.1828711179597292E-2</v>
      </c>
      <c r="I13" s="93">
        <f t="shared" si="6"/>
        <v>0.55578295009169232</v>
      </c>
      <c r="J13" s="92">
        <f>SUM(J11:J12)</f>
        <v>10468585.42</v>
      </c>
      <c r="K13" s="188">
        <f t="shared" si="7"/>
        <v>0.39701513513259074</v>
      </c>
      <c r="L13" s="92">
        <f>SUM(L11:L12)</f>
        <v>20739714.09</v>
      </c>
      <c r="M13" s="44">
        <v>0.60799999999999998</v>
      </c>
      <c r="N13" s="161">
        <f t="shared" si="5"/>
        <v>0.27138818913197471</v>
      </c>
    </row>
    <row r="14" spans="1:14" ht="15" customHeight="1" x14ac:dyDescent="0.2">
      <c r="A14" s="21">
        <v>8</v>
      </c>
      <c r="B14" s="21" t="s">
        <v>450</v>
      </c>
      <c r="C14" s="225">
        <v>5000000</v>
      </c>
      <c r="D14" s="300">
        <f t="shared" si="0"/>
        <v>1.9603490166888058E-3</v>
      </c>
      <c r="E14" s="232">
        <v>5000000</v>
      </c>
      <c r="F14" s="304">
        <f>E14/$E$18</f>
        <v>1.8551313686065401E-3</v>
      </c>
      <c r="G14" s="31">
        <v>5241101</v>
      </c>
      <c r="H14" s="306">
        <f>G14/G18</f>
        <v>2.3511428630556544E-3</v>
      </c>
      <c r="I14" s="151">
        <f t="shared" si="6"/>
        <v>1.0482202</v>
      </c>
      <c r="J14" s="31">
        <v>5241101</v>
      </c>
      <c r="K14" s="170">
        <f>+J14/G14</f>
        <v>1</v>
      </c>
      <c r="L14" s="153">
        <v>0</v>
      </c>
      <c r="M14" s="61" t="s">
        <v>129</v>
      </c>
      <c r="N14" s="162" t="s">
        <v>129</v>
      </c>
    </row>
    <row r="15" spans="1:14" ht="15" customHeight="1" x14ac:dyDescent="0.2">
      <c r="A15" s="25">
        <v>9</v>
      </c>
      <c r="B15" s="25" t="s">
        <v>9</v>
      </c>
      <c r="C15" s="225">
        <v>161550000</v>
      </c>
      <c r="D15" s="300">
        <f t="shared" si="0"/>
        <v>6.3338876729215315E-2</v>
      </c>
      <c r="E15" s="232">
        <v>161550000</v>
      </c>
      <c r="F15" s="304">
        <f>E15/$E$18</f>
        <v>5.9939294519677312E-2</v>
      </c>
      <c r="G15" s="31">
        <v>1454403.57</v>
      </c>
      <c r="H15" s="304">
        <f>G15/G18</f>
        <v>6.5244126636906344E-4</v>
      </c>
      <c r="I15" s="152">
        <f t="shared" si="6"/>
        <v>9.0028076137418766E-3</v>
      </c>
      <c r="J15" s="31">
        <v>1454403.57</v>
      </c>
      <c r="K15" s="458">
        <f t="shared" si="7"/>
        <v>1</v>
      </c>
      <c r="L15" s="154">
        <v>1682249.64</v>
      </c>
      <c r="M15" s="304">
        <v>1.2861235779816514E-2</v>
      </c>
      <c r="N15" s="160">
        <f t="shared" si="5"/>
        <v>-0.13544129514570724</v>
      </c>
    </row>
    <row r="16" spans="1:14" ht="15" customHeight="1" x14ac:dyDescent="0.2">
      <c r="A16" s="9"/>
      <c r="B16" s="2" t="s">
        <v>10</v>
      </c>
      <c r="C16" s="179">
        <f>SUM(C14:C15)</f>
        <v>166550000</v>
      </c>
      <c r="D16" s="571">
        <f t="shared" si="0"/>
        <v>6.5299225745904119E-2</v>
      </c>
      <c r="E16" s="169">
        <f>SUM(E14:E15)</f>
        <v>166550000</v>
      </c>
      <c r="F16" s="303">
        <f>E16/E18</f>
        <v>6.1794425888283849E-2</v>
      </c>
      <c r="G16" s="92">
        <f>SUM(G14:G15)</f>
        <v>6695504.5700000003</v>
      </c>
      <c r="H16" s="303">
        <f>G16/G18</f>
        <v>3.003584129424718E-3</v>
      </c>
      <c r="I16" s="93">
        <f t="shared" si="6"/>
        <v>4.0201168237766441E-2</v>
      </c>
      <c r="J16" s="92">
        <f>SUM(J14:J15)</f>
        <v>6695504.5700000003</v>
      </c>
      <c r="K16" s="188">
        <f t="shared" si="7"/>
        <v>1</v>
      </c>
      <c r="L16" s="92">
        <f>SUM(L14:L15)</f>
        <v>1682249.64</v>
      </c>
      <c r="M16" s="44">
        <v>7.0000000000000001E-3</v>
      </c>
      <c r="N16" s="161">
        <f t="shared" si="5"/>
        <v>2.980089762420755</v>
      </c>
    </row>
    <row r="17" spans="1:14" ht="15" customHeight="1" thickBot="1" x14ac:dyDescent="0.25">
      <c r="A17" s="9"/>
      <c r="B17" s="2" t="s">
        <v>432</v>
      </c>
      <c r="C17" s="179">
        <v>0</v>
      </c>
      <c r="D17" s="400" t="s">
        <v>129</v>
      </c>
      <c r="E17" s="169">
        <v>116613194.5</v>
      </c>
      <c r="F17" s="303"/>
      <c r="G17" s="92">
        <v>0</v>
      </c>
      <c r="H17" s="303" t="s">
        <v>129</v>
      </c>
      <c r="I17" s="98" t="s">
        <v>129</v>
      </c>
      <c r="J17" s="92">
        <v>0</v>
      </c>
      <c r="K17" s="188" t="s">
        <v>129</v>
      </c>
      <c r="L17" s="92">
        <v>0</v>
      </c>
      <c r="M17" s="384" t="s">
        <v>129</v>
      </c>
      <c r="N17" s="161" t="s">
        <v>129</v>
      </c>
    </row>
    <row r="18" spans="1:14" s="6" customFormat="1" ht="19.5" customHeight="1" thickBot="1" x14ac:dyDescent="0.25">
      <c r="A18" s="5"/>
      <c r="B18" s="4" t="s">
        <v>52</v>
      </c>
      <c r="C18" s="180">
        <f>C10+C13+C16+C17</f>
        <v>2550566229.5</v>
      </c>
      <c r="D18" s="305" t="s">
        <v>129</v>
      </c>
      <c r="E18" s="171">
        <f t="shared" ref="E18:G18" si="8">+E10+E13+E16+E17</f>
        <v>2695226917.4100003</v>
      </c>
      <c r="F18" s="305" t="s">
        <v>129</v>
      </c>
      <c r="G18" s="172">
        <f t="shared" si="8"/>
        <v>2229171643.4400001</v>
      </c>
      <c r="H18" s="305" t="s">
        <v>129</v>
      </c>
      <c r="I18" s="173">
        <f t="shared" si="6"/>
        <v>0.82708124835074748</v>
      </c>
      <c r="J18" s="172">
        <f>+J10+J13+J16+J17</f>
        <v>1899354262.9199998</v>
      </c>
      <c r="K18" s="191">
        <f t="shared" si="7"/>
        <v>0.85204486990017758</v>
      </c>
      <c r="L18" s="164">
        <f>+L10+L13+L16</f>
        <v>2017934883.24</v>
      </c>
      <c r="M18" s="208">
        <v>0.747</v>
      </c>
      <c r="N18" s="163">
        <f t="shared" si="5"/>
        <v>0.10467967125918243</v>
      </c>
    </row>
    <row r="19" spans="1:14" x14ac:dyDescent="0.2">
      <c r="A19" s="285" t="s">
        <v>478</v>
      </c>
      <c r="B19" s="285"/>
    </row>
    <row r="21" spans="1:14" s="539" customFormat="1" x14ac:dyDescent="0.2">
      <c r="A21" s="537"/>
      <c r="B21" s="536"/>
      <c r="C21" s="545"/>
      <c r="D21" s="538"/>
      <c r="K21" s="540"/>
      <c r="M21" s="540"/>
    </row>
    <row r="22" spans="1:14" s="539" customFormat="1" x14ac:dyDescent="0.2">
      <c r="A22" s="537"/>
      <c r="B22" s="536"/>
      <c r="C22" s="545"/>
      <c r="D22" s="538"/>
      <c r="G22" s="59"/>
      <c r="H22" s="86"/>
      <c r="K22" s="540"/>
      <c r="M22" s="540"/>
    </row>
    <row r="23" spans="1:14" s="539" customFormat="1" x14ac:dyDescent="0.2">
      <c r="A23" s="537"/>
      <c r="B23" s="536"/>
      <c r="C23" s="545"/>
      <c r="D23" s="538"/>
      <c r="G23" s="59"/>
      <c r="H23" s="86"/>
      <c r="K23" s="540"/>
      <c r="M23" s="540"/>
    </row>
    <row r="24" spans="1:14" s="539" customFormat="1" x14ac:dyDescent="0.2">
      <c r="A24" s="537"/>
      <c r="B24" s="536"/>
      <c r="C24" s="545"/>
      <c r="D24" s="538"/>
      <c r="G24" s="59"/>
      <c r="H24" s="86"/>
      <c r="K24" s="540"/>
      <c r="M24" s="540"/>
    </row>
    <row r="25" spans="1:14" s="539" customFormat="1" x14ac:dyDescent="0.2">
      <c r="A25" s="537"/>
      <c r="B25" s="536"/>
      <c r="C25" s="545"/>
      <c r="D25" s="538"/>
      <c r="G25" s="59"/>
      <c r="H25" s="86"/>
      <c r="K25" s="540"/>
      <c r="M25" s="540"/>
    </row>
    <row r="26" spans="1:14" s="539" customFormat="1" x14ac:dyDescent="0.2">
      <c r="A26" s="537"/>
      <c r="B26" s="536"/>
      <c r="C26" s="545"/>
      <c r="D26" s="538"/>
      <c r="G26" s="59"/>
      <c r="H26" s="86"/>
      <c r="K26" s="540"/>
      <c r="M26" s="540"/>
    </row>
    <row r="27" spans="1:14" s="539" customFormat="1" x14ac:dyDescent="0.2">
      <c r="A27" s="537"/>
      <c r="B27" s="536"/>
      <c r="C27" s="545"/>
      <c r="D27" s="538"/>
      <c r="G27" s="59"/>
      <c r="H27" s="86"/>
      <c r="K27" s="540"/>
      <c r="M27" s="540"/>
    </row>
    <row r="28" spans="1:14" s="539" customFormat="1" x14ac:dyDescent="0.2">
      <c r="A28" s="537"/>
      <c r="B28" s="536"/>
      <c r="C28" s="546"/>
      <c r="D28" s="538"/>
      <c r="G28" s="59"/>
      <c r="H28" s="86"/>
      <c r="K28" s="540"/>
      <c r="M28" s="540"/>
    </row>
    <row r="29" spans="1:14" s="539" customFormat="1" x14ac:dyDescent="0.2">
      <c r="A29" s="537"/>
      <c r="B29" s="536"/>
      <c r="C29" s="545"/>
      <c r="D29" s="538"/>
      <c r="E29" s="541"/>
      <c r="G29" s="59"/>
      <c r="H29" s="309"/>
      <c r="K29" s="540"/>
      <c r="M29" s="540"/>
    </row>
    <row r="30" spans="1:14" x14ac:dyDescent="0.2">
      <c r="G30" s="59"/>
      <c r="H30" s="86"/>
    </row>
  </sheetData>
  <mergeCells count="2">
    <mergeCell ref="L2:M2"/>
    <mergeCell ref="E2:K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1" spans="1:13" ht="15.75" thickBot="1" x14ac:dyDescent="0.3">
      <c r="A1" s="7" t="s">
        <v>559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8">
        <v>212198443.66999999</v>
      </c>
      <c r="D5" s="233">
        <v>211104092.11000001</v>
      </c>
      <c r="E5" s="33">
        <v>185947300.53999999</v>
      </c>
      <c r="F5" s="49">
        <f>E5/D5</f>
        <v>0.88083228838173555</v>
      </c>
      <c r="G5" s="33">
        <v>185767253.44</v>
      </c>
      <c r="H5" s="49">
        <f>G5/D5</f>
        <v>0.87997940534095498</v>
      </c>
      <c r="I5" s="33">
        <v>185646351.03</v>
      </c>
      <c r="J5" s="170">
        <f>I5/D5</f>
        <v>0.87940669067307919</v>
      </c>
      <c r="K5" s="31">
        <v>181937683.37</v>
      </c>
      <c r="L5" s="53">
        <v>0.88404684751279194</v>
      </c>
      <c r="M5" s="238">
        <f>+I5/K5-1</f>
        <v>2.0384274391676227E-2</v>
      </c>
    </row>
    <row r="6" spans="1:13" ht="15" customHeight="1" x14ac:dyDescent="0.2">
      <c r="A6" s="23">
        <v>2</v>
      </c>
      <c r="B6" s="23" t="s">
        <v>1</v>
      </c>
      <c r="C6" s="178">
        <v>29591849.129999999</v>
      </c>
      <c r="D6" s="233">
        <v>29543441.469999999</v>
      </c>
      <c r="E6" s="33">
        <v>28681384.140000001</v>
      </c>
      <c r="F6" s="49">
        <f>E6/D6</f>
        <v>0.97082068685615464</v>
      </c>
      <c r="G6" s="33">
        <v>27758637.059999999</v>
      </c>
      <c r="H6" s="49">
        <f>G6/D6</f>
        <v>0.93958711913057302</v>
      </c>
      <c r="I6" s="33">
        <v>17486586.59</v>
      </c>
      <c r="J6" s="170">
        <f>I6/D6</f>
        <v>0.59189402858691398</v>
      </c>
      <c r="K6" s="33">
        <v>18630800.690000001</v>
      </c>
      <c r="L6" s="55">
        <v>0.63365237201458524</v>
      </c>
      <c r="M6" s="239">
        <f>+I6/K6-1</f>
        <v>-6.1415186552564727E-2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49" t="s">
        <v>129</v>
      </c>
      <c r="G7" s="33"/>
      <c r="H7" s="49" t="s">
        <v>129</v>
      </c>
      <c r="I7" s="33"/>
      <c r="J7" s="170" t="s">
        <v>129</v>
      </c>
      <c r="K7" s="379"/>
      <c r="L7" s="55" t="s">
        <v>129</v>
      </c>
      <c r="M7" s="239" t="s">
        <v>129</v>
      </c>
    </row>
    <row r="8" spans="1:13" ht="15" customHeight="1" x14ac:dyDescent="0.2">
      <c r="A8" s="25">
        <v>4</v>
      </c>
      <c r="B8" s="25" t="s">
        <v>3</v>
      </c>
      <c r="C8" s="178">
        <v>2868215.11</v>
      </c>
      <c r="D8" s="233">
        <v>3423947.05</v>
      </c>
      <c r="E8" s="33">
        <v>3423629.05</v>
      </c>
      <c r="F8" s="456">
        <f>E8/D8</f>
        <v>0.99990712473196686</v>
      </c>
      <c r="G8" s="33">
        <v>3423629.05</v>
      </c>
      <c r="H8" s="456">
        <f>G8/D8</f>
        <v>0.99990712473196686</v>
      </c>
      <c r="I8" s="33">
        <v>3419289.35</v>
      </c>
      <c r="J8" s="458">
        <f>I8/D8</f>
        <v>0.99863966938390603</v>
      </c>
      <c r="K8" s="35">
        <v>2769864.77</v>
      </c>
      <c r="L8" s="375">
        <v>0.9974639052315204</v>
      </c>
      <c r="M8" s="269">
        <f>+I8/K8-1</f>
        <v>0.23446075311467274</v>
      </c>
    </row>
    <row r="9" spans="1:13" ht="15" customHeight="1" x14ac:dyDescent="0.2">
      <c r="A9" s="9"/>
      <c r="B9" s="2" t="s">
        <v>4</v>
      </c>
      <c r="C9" s="179">
        <f>SUM(C5:C8)</f>
        <v>244658507.91</v>
      </c>
      <c r="D9" s="169">
        <f t="shared" ref="D9:I9" si="0">SUM(D5:D8)</f>
        <v>244071480.63000003</v>
      </c>
      <c r="E9" s="92">
        <f t="shared" si="0"/>
        <v>218052313.73000002</v>
      </c>
      <c r="F9" s="98">
        <f>E9/D9</f>
        <v>0.89339530029137759</v>
      </c>
      <c r="G9" s="92">
        <f t="shared" si="0"/>
        <v>216949519.55000001</v>
      </c>
      <c r="H9" s="98">
        <f>G9/D9</f>
        <v>0.88887697567125623</v>
      </c>
      <c r="I9" s="92">
        <f t="shared" si="0"/>
        <v>206552226.97</v>
      </c>
      <c r="J9" s="188">
        <f>I9/D9</f>
        <v>0.84627760046706435</v>
      </c>
      <c r="K9" s="92">
        <f>SUM(K5:K8)</f>
        <v>203338348.83000001</v>
      </c>
      <c r="L9" s="44">
        <v>0.85399999999999998</v>
      </c>
      <c r="M9" s="242">
        <f>+I9/K9-1</f>
        <v>1.58055681994691E-2</v>
      </c>
    </row>
    <row r="10" spans="1:13" ht="15" customHeight="1" x14ac:dyDescent="0.2">
      <c r="A10" s="21">
        <v>6</v>
      </c>
      <c r="B10" s="21" t="s">
        <v>5</v>
      </c>
      <c r="C10" s="178">
        <v>1549357.27</v>
      </c>
      <c r="D10" s="233">
        <v>7109064.4400000004</v>
      </c>
      <c r="E10" s="33">
        <v>6623571.7999999998</v>
      </c>
      <c r="F10" s="494">
        <f>E10/D10</f>
        <v>0.93170794214941721</v>
      </c>
      <c r="G10" s="33">
        <v>6060706.79</v>
      </c>
      <c r="H10" s="494">
        <f>G10/D10</f>
        <v>0.85253226231833112</v>
      </c>
      <c r="I10" s="153">
        <v>1882823.82</v>
      </c>
      <c r="J10" s="512">
        <f>I10/D10</f>
        <v>0.26484832651200446</v>
      </c>
      <c r="K10" s="153">
        <v>3024125.07</v>
      </c>
      <c r="L10" s="53">
        <v>0.28774095892142754</v>
      </c>
      <c r="M10" s="254">
        <f>+I10/K10-1</f>
        <v>-0.37739882563785621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279" t="s">
        <v>129</v>
      </c>
      <c r="G11" s="154"/>
      <c r="H11" s="279" t="s">
        <v>129</v>
      </c>
      <c r="I11" s="154"/>
      <c r="J11" s="222" t="s">
        <v>129</v>
      </c>
      <c r="K11" s="487"/>
      <c r="L11" s="56" t="s">
        <v>129</v>
      </c>
      <c r="M11" s="244" t="s">
        <v>129</v>
      </c>
    </row>
    <row r="12" spans="1:13" ht="15" customHeight="1" x14ac:dyDescent="0.2">
      <c r="A12" s="9"/>
      <c r="B12" s="2" t="s">
        <v>7</v>
      </c>
      <c r="C12" s="179">
        <f>SUM(C10:C11)</f>
        <v>1549357.27</v>
      </c>
      <c r="D12" s="169">
        <f t="shared" ref="D12:I12" si="1">SUM(D10:D11)</f>
        <v>7109064.4400000004</v>
      </c>
      <c r="E12" s="92">
        <f t="shared" si="1"/>
        <v>6623571.7999999998</v>
      </c>
      <c r="F12" s="98">
        <f>E12/D12</f>
        <v>0.93170794214941721</v>
      </c>
      <c r="G12" s="92">
        <f t="shared" si="1"/>
        <v>6060706.79</v>
      </c>
      <c r="H12" s="98">
        <f>G12/D12</f>
        <v>0.85253226231833112</v>
      </c>
      <c r="I12" s="92">
        <f t="shared" si="1"/>
        <v>1882823.82</v>
      </c>
      <c r="J12" s="188">
        <f>I12/D12</f>
        <v>0.26484832651200446</v>
      </c>
      <c r="K12" s="92">
        <f>SUM(K10:K11)</f>
        <v>3024125.07</v>
      </c>
      <c r="L12" s="44">
        <v>0.28799999999999998</v>
      </c>
      <c r="M12" s="242">
        <f>+I12/K12-1</f>
        <v>-0.37739882563785621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1"/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35"/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98" t="s">
        <v>129</v>
      </c>
      <c r="G15" s="92">
        <f t="shared" si="2"/>
        <v>0</v>
      </c>
      <c r="H15" s="62" t="s">
        <v>129</v>
      </c>
      <c r="I15" s="92">
        <f t="shared" si="2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246207865.18000001</v>
      </c>
      <c r="D16" s="171">
        <f t="shared" ref="D16:I16" si="3">+D9+D12+D15</f>
        <v>251180545.07000002</v>
      </c>
      <c r="E16" s="172">
        <f t="shared" si="3"/>
        <v>224675885.53000003</v>
      </c>
      <c r="F16" s="199">
        <f>E16/D16</f>
        <v>0.89447964796551593</v>
      </c>
      <c r="G16" s="172">
        <f t="shared" si="3"/>
        <v>223010226.34</v>
      </c>
      <c r="H16" s="199">
        <f>G16/D16</f>
        <v>0.88784832550566606</v>
      </c>
      <c r="I16" s="172">
        <f t="shared" si="3"/>
        <v>208435050.78999999</v>
      </c>
      <c r="J16" s="191">
        <f>I16/D16</f>
        <v>0.82982163579552892</v>
      </c>
      <c r="K16" s="164">
        <f>K9+K12+K15</f>
        <v>206362473.90000001</v>
      </c>
      <c r="L16" s="208">
        <v>0.83</v>
      </c>
      <c r="M16" s="246">
        <f>+I16/K16-1</f>
        <v>1.0043380711767913E-2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5"/>
  <sheetViews>
    <sheetView zoomScaleNormal="100" workbookViewId="0">
      <selection activeCell="B2" sqref="B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140625" style="105" bestFit="1" customWidth="1"/>
  </cols>
  <sheetData>
    <row r="2" spans="1:15" ht="15" x14ac:dyDescent="0.25">
      <c r="B2" s="7" t="s">
        <v>559</v>
      </c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">
      <c r="D14"/>
      <c r="E14"/>
      <c r="F14"/>
      <c r="G14"/>
      <c r="H14"/>
      <c r="I14"/>
      <c r="J14"/>
      <c r="K14"/>
      <c r="L14"/>
      <c r="M14"/>
    </row>
    <row r="15" spans="1:15" x14ac:dyDescent="0.2">
      <c r="D15"/>
      <c r="E15"/>
      <c r="F15"/>
      <c r="G15"/>
      <c r="H15"/>
      <c r="I15"/>
      <c r="J15"/>
      <c r="K15"/>
      <c r="L15"/>
      <c r="M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s="105" customFormat="1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x14ac:dyDescent="0.2">
      <c r="D19"/>
      <c r="E19"/>
      <c r="F19"/>
      <c r="G19"/>
      <c r="H19"/>
      <c r="I19"/>
      <c r="J19"/>
      <c r="K19"/>
      <c r="L19"/>
      <c r="M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.75" thickBot="1" x14ac:dyDescent="0.3">
      <c r="A1" s="7" t="s">
        <v>560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8069693.5999999996</v>
      </c>
      <c r="D5" s="233">
        <v>8917175.5500000007</v>
      </c>
      <c r="E5" s="33">
        <v>8905593.1799999997</v>
      </c>
      <c r="F5" s="49">
        <f>E5/D5</f>
        <v>0.99870111674542494</v>
      </c>
      <c r="G5" s="33">
        <v>8875019.3699999992</v>
      </c>
      <c r="H5" s="49">
        <f>G5/D5</f>
        <v>0.99527247391692297</v>
      </c>
      <c r="I5" s="33">
        <v>8875019.3699999992</v>
      </c>
      <c r="J5" s="170">
        <f>I5/D5</f>
        <v>0.99527247391692297</v>
      </c>
      <c r="K5" s="31">
        <v>7894028.4500000002</v>
      </c>
      <c r="L5" s="53">
        <v>0.90536218813842906</v>
      </c>
      <c r="M5" s="238">
        <f>+I5/K5-1</f>
        <v>0.12427000057239446</v>
      </c>
    </row>
    <row r="6" spans="1:13" ht="15" customHeight="1" x14ac:dyDescent="0.2">
      <c r="A6" s="23">
        <v>2</v>
      </c>
      <c r="B6" s="23" t="s">
        <v>1</v>
      </c>
      <c r="C6" s="177">
        <v>6261542.29</v>
      </c>
      <c r="D6" s="233">
        <v>6874547.1399999997</v>
      </c>
      <c r="E6" s="33">
        <v>6626292.1299999999</v>
      </c>
      <c r="F6" s="49">
        <f>E6/D6</f>
        <v>0.96388780163343246</v>
      </c>
      <c r="G6" s="33">
        <v>6185304.9500000002</v>
      </c>
      <c r="H6" s="49">
        <f>G6/D6</f>
        <v>0.89973998636366914</v>
      </c>
      <c r="I6" s="33">
        <v>4661794.46</v>
      </c>
      <c r="J6" s="170">
        <f>I6/D6</f>
        <v>0.67812386257053148</v>
      </c>
      <c r="K6" s="33">
        <v>4087033.69</v>
      </c>
      <c r="L6" s="55">
        <v>0.65420643643836363</v>
      </c>
      <c r="M6" s="239">
        <f>+I6/K6-1</f>
        <v>0.14063029903724633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129</v>
      </c>
      <c r="G7" s="33"/>
      <c r="H7" s="49" t="s">
        <v>129</v>
      </c>
      <c r="I7" s="33"/>
      <c r="J7" s="170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28344074.559999999</v>
      </c>
      <c r="D8" s="233">
        <v>45182369.159999996</v>
      </c>
      <c r="E8" s="33">
        <v>39075383.590000004</v>
      </c>
      <c r="F8" s="456">
        <f>E8/D8</f>
        <v>0.86483697770752321</v>
      </c>
      <c r="G8" s="33">
        <v>39066330.590000004</v>
      </c>
      <c r="H8" s="456">
        <f>G8/D8</f>
        <v>0.86463661194166574</v>
      </c>
      <c r="I8" s="33">
        <v>32643442.719999999</v>
      </c>
      <c r="J8" s="458">
        <f>I8/D8</f>
        <v>0.7224818735025359</v>
      </c>
      <c r="K8" s="35">
        <v>24885271.57</v>
      </c>
      <c r="L8" s="375">
        <v>0.86101109694940636</v>
      </c>
      <c r="M8" s="529">
        <f>+I8/K8-1</f>
        <v>0.31175754414320811</v>
      </c>
    </row>
    <row r="9" spans="1:13" ht="15" customHeight="1" x14ac:dyDescent="0.2">
      <c r="A9" s="9"/>
      <c r="B9" s="2" t="s">
        <v>4</v>
      </c>
      <c r="C9" s="179">
        <f>SUM(C5:C8)</f>
        <v>42675310.450000003</v>
      </c>
      <c r="D9" s="169">
        <f t="shared" ref="D9:I9" si="0">SUM(D5:D8)</f>
        <v>60974091.849999994</v>
      </c>
      <c r="E9" s="92">
        <f t="shared" si="0"/>
        <v>54607268.900000006</v>
      </c>
      <c r="F9" s="98">
        <f>E9/D9</f>
        <v>0.89558150426146954</v>
      </c>
      <c r="G9" s="92">
        <f t="shared" si="0"/>
        <v>54126654.910000004</v>
      </c>
      <c r="H9" s="98">
        <f>G9/D9</f>
        <v>0.88769923860702826</v>
      </c>
      <c r="I9" s="92">
        <f t="shared" si="0"/>
        <v>46180256.549999997</v>
      </c>
      <c r="J9" s="188">
        <f>I9/D9</f>
        <v>0.75737506125726739</v>
      </c>
      <c r="K9" s="92">
        <f>SUM(K5:K8)</f>
        <v>36866333.710000001</v>
      </c>
      <c r="L9" s="44">
        <v>0.84</v>
      </c>
      <c r="M9" s="161">
        <f>+I9/K9-1</f>
        <v>0.25264033340732195</v>
      </c>
    </row>
    <row r="10" spans="1:13" ht="15" customHeight="1" x14ac:dyDescent="0.2">
      <c r="A10" s="21">
        <v>6</v>
      </c>
      <c r="B10" s="21" t="s">
        <v>5</v>
      </c>
      <c r="C10" s="177">
        <v>548825</v>
      </c>
      <c r="D10" s="233">
        <v>2977888.87</v>
      </c>
      <c r="E10" s="31">
        <v>2270976.6</v>
      </c>
      <c r="F10" s="49">
        <f>E10/D10</f>
        <v>0.76261294465296825</v>
      </c>
      <c r="G10" s="31">
        <v>2270976.6</v>
      </c>
      <c r="H10" s="49">
        <f>G10/D10</f>
        <v>0.76261294465296825</v>
      </c>
      <c r="I10" s="31">
        <v>1696376.18</v>
      </c>
      <c r="J10" s="170">
        <f>I10/D10</f>
        <v>0.5696573156539585</v>
      </c>
      <c r="K10" s="153">
        <v>1470838.16</v>
      </c>
      <c r="L10" s="53">
        <v>0.31764173140322483</v>
      </c>
      <c r="M10" s="238">
        <f>+I10/K10-1</f>
        <v>0.15333979368607076</v>
      </c>
    </row>
    <row r="11" spans="1:13" ht="15" customHeight="1" x14ac:dyDescent="0.2">
      <c r="A11" s="25">
        <v>7</v>
      </c>
      <c r="B11" s="25" t="s">
        <v>6</v>
      </c>
      <c r="C11" s="177">
        <v>6844993</v>
      </c>
      <c r="D11" s="233">
        <v>16586993</v>
      </c>
      <c r="E11" s="35">
        <v>8544507</v>
      </c>
      <c r="F11" s="86">
        <f>E11/D11</f>
        <v>0.51513297196182573</v>
      </c>
      <c r="G11" s="60">
        <v>8544507</v>
      </c>
      <c r="H11" s="86">
        <f>G11/D11</f>
        <v>0.51513297196182573</v>
      </c>
      <c r="I11" s="60">
        <v>7075407</v>
      </c>
      <c r="J11" s="190">
        <f>I11/D11</f>
        <v>0.42656357303581188</v>
      </c>
      <c r="K11" s="154">
        <v>8218166.1399999997</v>
      </c>
      <c r="L11" s="375">
        <v>0.17713105638243989</v>
      </c>
      <c r="M11" s="238">
        <f>+I11/K11-1</f>
        <v>-0.13905281549832471</v>
      </c>
    </row>
    <row r="12" spans="1:13" ht="15" customHeight="1" x14ac:dyDescent="0.2">
      <c r="A12" s="9"/>
      <c r="B12" s="2" t="s">
        <v>7</v>
      </c>
      <c r="C12" s="179">
        <f>SUM(C10:C11)</f>
        <v>7393818</v>
      </c>
      <c r="D12" s="169">
        <f t="shared" ref="D12:I12" si="1">SUM(D10:D11)</f>
        <v>19564881.870000001</v>
      </c>
      <c r="E12" s="92">
        <f t="shared" si="1"/>
        <v>10815483.6</v>
      </c>
      <c r="F12" s="98">
        <f>E12/D12</f>
        <v>0.55280086390830829</v>
      </c>
      <c r="G12" s="92">
        <f t="shared" si="1"/>
        <v>10815483.6</v>
      </c>
      <c r="H12" s="98">
        <f>G12/D12</f>
        <v>0.55280086390830829</v>
      </c>
      <c r="I12" s="92">
        <f t="shared" si="1"/>
        <v>8771783.1799999997</v>
      </c>
      <c r="J12" s="188">
        <f>I12/D12</f>
        <v>0.4483432733345708</v>
      </c>
      <c r="K12" s="92">
        <f>SUM(K10:K11)</f>
        <v>9689004.2999999989</v>
      </c>
      <c r="L12" s="44">
        <v>0.19</v>
      </c>
      <c r="M12" s="242">
        <f>+I12/K12-1</f>
        <v>-9.4666189796200118E-2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129</v>
      </c>
      <c r="G13" s="31"/>
      <c r="H13" s="28" t="s">
        <v>129</v>
      </c>
      <c r="I13" s="31"/>
      <c r="J13" s="256" t="s">
        <v>129</v>
      </c>
      <c r="K13" s="393" t="s">
        <v>129</v>
      </c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487" t="s">
        <v>129</v>
      </c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129</v>
      </c>
      <c r="G15" s="92">
        <f t="shared" si="2"/>
        <v>0</v>
      </c>
      <c r="H15" s="258" t="s">
        <v>129</v>
      </c>
      <c r="I15" s="92">
        <f t="shared" si="2"/>
        <v>0</v>
      </c>
      <c r="J15" s="259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50069128.450000003</v>
      </c>
      <c r="D16" s="171">
        <f t="shared" ref="D16:I16" si="3">+D9+D12+D15</f>
        <v>80538973.719999999</v>
      </c>
      <c r="E16" s="172">
        <f t="shared" si="3"/>
        <v>65422752.500000007</v>
      </c>
      <c r="F16" s="199">
        <f>E16/D16</f>
        <v>0.8123117228616209</v>
      </c>
      <c r="G16" s="172">
        <f t="shared" si="3"/>
        <v>64942138.510000005</v>
      </c>
      <c r="H16" s="199">
        <f>G16/D16</f>
        <v>0.80634425186216552</v>
      </c>
      <c r="I16" s="172">
        <f t="shared" si="3"/>
        <v>54952039.729999997</v>
      </c>
      <c r="J16" s="191">
        <f>I16/D16</f>
        <v>0.68230369958580595</v>
      </c>
      <c r="K16" s="164">
        <f>K9+K12+K15</f>
        <v>46555338.009999998</v>
      </c>
      <c r="L16" s="208">
        <v>0.49099999999999999</v>
      </c>
      <c r="M16" s="246">
        <f>+I16/K16-1</f>
        <v>0.18035959094951481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4.42578125" customWidth="1"/>
  </cols>
  <sheetData>
    <row r="1" spans="1:13" ht="15" x14ac:dyDescent="0.25">
      <c r="A1" s="7" t="s">
        <v>560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">
      <c r="D16"/>
      <c r="E16"/>
      <c r="F16"/>
      <c r="G16"/>
      <c r="H16"/>
      <c r="I16"/>
      <c r="J16"/>
      <c r="K16"/>
      <c r="L16"/>
      <c r="M16"/>
    </row>
    <row r="20" spans="5:5" x14ac:dyDescent="0.2">
      <c r="E20" s="19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M20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7.85546875" style="105" bestFit="1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561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8">
        <v>2340875.96</v>
      </c>
      <c r="D5" s="234">
        <v>2456006.2400000002</v>
      </c>
      <c r="E5" s="35">
        <v>2048039.77</v>
      </c>
      <c r="F5" s="49">
        <f>E5/D5</f>
        <v>0.83389029581618646</v>
      </c>
      <c r="G5" s="35">
        <v>2048039.77</v>
      </c>
      <c r="H5" s="49">
        <f>G5/D5</f>
        <v>0.83389029581618646</v>
      </c>
      <c r="I5" s="35">
        <v>2048039.77</v>
      </c>
      <c r="J5" s="170">
        <f>I5/D5</f>
        <v>0.83389029581618646</v>
      </c>
      <c r="K5" s="31">
        <v>2353193.63</v>
      </c>
      <c r="L5" s="53">
        <v>0.90224055631048772</v>
      </c>
      <c r="M5" s="238">
        <f>+I5/K5-1</f>
        <v>-0.12967647715415576</v>
      </c>
    </row>
    <row r="6" spans="1:13" ht="15" customHeight="1" x14ac:dyDescent="0.2">
      <c r="A6" s="23">
        <v>2</v>
      </c>
      <c r="B6" s="23" t="s">
        <v>1</v>
      </c>
      <c r="C6" s="178">
        <v>191288596.02000001</v>
      </c>
      <c r="D6" s="234">
        <v>191312047.36000001</v>
      </c>
      <c r="E6" s="35">
        <v>188613814.06999999</v>
      </c>
      <c r="F6" s="49">
        <f>E6/D6</f>
        <v>0.98589616635630561</v>
      </c>
      <c r="G6" s="35">
        <v>188582817.77000001</v>
      </c>
      <c r="H6" s="49">
        <f>G6/D6</f>
        <v>0.98573414676356319</v>
      </c>
      <c r="I6" s="35">
        <v>137559720.40000001</v>
      </c>
      <c r="J6" s="170">
        <f>I6/D6</f>
        <v>0.71903323548228004</v>
      </c>
      <c r="K6" s="33">
        <v>129614759.34999999</v>
      </c>
      <c r="L6" s="55">
        <v>0.73310061915033686</v>
      </c>
      <c r="M6" s="238">
        <f>+I6/K6-1</f>
        <v>6.1296731096388113E-2</v>
      </c>
    </row>
    <row r="7" spans="1:13" ht="15" customHeight="1" x14ac:dyDescent="0.2">
      <c r="A7" s="23">
        <v>3</v>
      </c>
      <c r="B7" s="23" t="s">
        <v>2</v>
      </c>
      <c r="C7" s="178"/>
      <c r="D7" s="234"/>
      <c r="E7" s="35"/>
      <c r="F7" s="49" t="s">
        <v>129</v>
      </c>
      <c r="G7" s="35"/>
      <c r="H7" s="49" t="s">
        <v>129</v>
      </c>
      <c r="I7" s="35"/>
      <c r="J7" s="170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8">
        <v>116273475.31</v>
      </c>
      <c r="D8" s="234">
        <v>116551426.73999999</v>
      </c>
      <c r="E8" s="35">
        <v>116504793.79000001</v>
      </c>
      <c r="F8" s="456">
        <f>E8/D8</f>
        <v>0.99959989378676573</v>
      </c>
      <c r="G8" s="153">
        <v>116410293.79000001</v>
      </c>
      <c r="H8" s="49">
        <f t="shared" ref="H8" si="0">G8/D8</f>
        <v>0.99878909290132656</v>
      </c>
      <c r="I8" s="35">
        <v>100523665.53</v>
      </c>
      <c r="J8" s="458">
        <f>I8/D8</f>
        <v>0.86248335470183202</v>
      </c>
      <c r="K8" s="35">
        <v>111027559.56</v>
      </c>
      <c r="L8" s="375">
        <v>0.88353946769890612</v>
      </c>
      <c r="M8" s="269">
        <f>+I8/K8-1</f>
        <v>-9.4606186712801077E-2</v>
      </c>
    </row>
    <row r="9" spans="1:13" ht="15" customHeight="1" x14ac:dyDescent="0.2">
      <c r="A9" s="9"/>
      <c r="B9" s="2" t="s">
        <v>4</v>
      </c>
      <c r="C9" s="179">
        <f>SUM(C5:C8)</f>
        <v>309902947.29000002</v>
      </c>
      <c r="D9" s="169">
        <f t="shared" ref="D9:I9" si="1">SUM(D5:D8)</f>
        <v>310319480.34000003</v>
      </c>
      <c r="E9" s="92">
        <f t="shared" si="1"/>
        <v>307166647.63</v>
      </c>
      <c r="F9" s="98">
        <f>E9/D9</f>
        <v>0.98984004256985203</v>
      </c>
      <c r="G9" s="92">
        <f>SUM(G5:G8)</f>
        <v>307041151.33000004</v>
      </c>
      <c r="H9" s="98">
        <f>G9/D9</f>
        <v>0.98943563257321743</v>
      </c>
      <c r="I9" s="92">
        <f t="shared" si="1"/>
        <v>240131425.70000002</v>
      </c>
      <c r="J9" s="188">
        <f>I9/D9</f>
        <v>0.77382001747650897</v>
      </c>
      <c r="K9" s="92">
        <f>SUM(K5:K8)</f>
        <v>242995512.53999999</v>
      </c>
      <c r="L9" s="44">
        <v>0.79700000000000004</v>
      </c>
      <c r="M9" s="242">
        <f>+I9/K9-1</f>
        <v>-1.178658325852211E-2</v>
      </c>
    </row>
    <row r="10" spans="1:13" ht="15" customHeight="1" x14ac:dyDescent="0.2">
      <c r="A10" s="21">
        <v>6</v>
      </c>
      <c r="B10" s="21" t="s">
        <v>5</v>
      </c>
      <c r="C10" s="178">
        <v>725157.47</v>
      </c>
      <c r="D10" s="234">
        <v>372199.05</v>
      </c>
      <c r="E10" s="31">
        <v>331489.61</v>
      </c>
      <c r="F10" s="49">
        <f>E10/D10</f>
        <v>0.89062454619376374</v>
      </c>
      <c r="G10" s="153">
        <v>328311.39</v>
      </c>
      <c r="H10" s="49">
        <f>G10/D10</f>
        <v>0.8820855131145553</v>
      </c>
      <c r="I10" s="153">
        <v>157948.76</v>
      </c>
      <c r="J10" s="170">
        <f>I10/D10</f>
        <v>0.42436637062883426</v>
      </c>
      <c r="K10" s="153">
        <v>489329.11</v>
      </c>
      <c r="L10" s="53">
        <v>0.4829914459732868</v>
      </c>
      <c r="M10" s="254">
        <f>+I10/K10-1</f>
        <v>-0.67721364461640143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/>
      <c r="H11" s="50" t="s">
        <v>129</v>
      </c>
      <c r="I11" s="154"/>
      <c r="J11" s="252" t="s">
        <v>129</v>
      </c>
      <c r="K11" s="487" t="s">
        <v>129</v>
      </c>
      <c r="L11" s="56" t="s">
        <v>129</v>
      </c>
      <c r="M11" s="254" t="s">
        <v>129</v>
      </c>
    </row>
    <row r="12" spans="1:13" ht="15" customHeight="1" x14ac:dyDescent="0.2">
      <c r="A12" s="9"/>
      <c r="B12" s="2" t="s">
        <v>7</v>
      </c>
      <c r="C12" s="179">
        <f>SUM(C10:C11)</f>
        <v>725157.47</v>
      </c>
      <c r="D12" s="169">
        <f t="shared" ref="D12:I12" si="2">SUM(D10:D11)</f>
        <v>372199.05</v>
      </c>
      <c r="E12" s="92">
        <f t="shared" si="2"/>
        <v>331489.61</v>
      </c>
      <c r="F12" s="98">
        <f>E12/D12</f>
        <v>0.89062454619376374</v>
      </c>
      <c r="G12" s="92">
        <f>SUM(G10:G11)</f>
        <v>328311.39</v>
      </c>
      <c r="H12" s="98" t="s">
        <v>129</v>
      </c>
      <c r="I12" s="92">
        <f t="shared" si="2"/>
        <v>157948.76</v>
      </c>
      <c r="J12" s="188">
        <f>I12/D12</f>
        <v>0.42436637062883426</v>
      </c>
      <c r="K12" s="92">
        <f>SUM(K10:K11)</f>
        <v>489329.11</v>
      </c>
      <c r="L12" s="44">
        <v>0.48299999999999998</v>
      </c>
      <c r="M12" s="255">
        <f>+I12/K12-1</f>
        <v>-0.67721364461640143</v>
      </c>
    </row>
    <row r="13" spans="1:13" ht="15" customHeight="1" x14ac:dyDescent="0.2">
      <c r="A13" s="21">
        <v>8</v>
      </c>
      <c r="B13" s="21" t="s">
        <v>8</v>
      </c>
      <c r="C13" s="176">
        <v>0</v>
      </c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93" t="s">
        <v>129</v>
      </c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>
        <v>0</v>
      </c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487" t="s">
        <v>129</v>
      </c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62" t="s">
        <v>129</v>
      </c>
      <c r="G15" s="92">
        <f t="shared" si="3"/>
        <v>0</v>
      </c>
      <c r="H15" s="62" t="s">
        <v>129</v>
      </c>
      <c r="I15" s="92">
        <f t="shared" si="3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310628104.76000005</v>
      </c>
      <c r="D16" s="171">
        <f t="shared" ref="D16:I16" si="4">+D9+D12+D15</f>
        <v>310691679.39000005</v>
      </c>
      <c r="E16" s="172">
        <f t="shared" si="4"/>
        <v>307498137.24000001</v>
      </c>
      <c r="F16" s="199">
        <f>E16/D16</f>
        <v>0.98972118546505616</v>
      </c>
      <c r="G16" s="172">
        <f t="shared" si="4"/>
        <v>307369462.72000003</v>
      </c>
      <c r="H16" s="199">
        <f>G16/D16</f>
        <v>0.989307030440845</v>
      </c>
      <c r="I16" s="172">
        <f t="shared" si="4"/>
        <v>240289374.46000001</v>
      </c>
      <c r="J16" s="191">
        <f>I16/D16</f>
        <v>0.77340138278493586</v>
      </c>
      <c r="K16" s="164">
        <f>K9+K12+K15</f>
        <v>243484841.65000001</v>
      </c>
      <c r="L16" s="208">
        <v>0.79500000000000004</v>
      </c>
      <c r="M16" s="246">
        <f>+I16/K16-1</f>
        <v>-1.3123885529569668E-2</v>
      </c>
    </row>
    <row r="20" spans="5:5" x14ac:dyDescent="0.2">
      <c r="E20" s="198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" style="105" bestFit="1" customWidth="1"/>
  </cols>
  <sheetData>
    <row r="1" spans="1:15" ht="15" x14ac:dyDescent="0.25">
      <c r="A1" s="7" t="s">
        <v>561</v>
      </c>
    </row>
    <row r="2" spans="1:15" x14ac:dyDescent="0.2">
      <c r="D2"/>
      <c r="E2"/>
      <c r="F2"/>
      <c r="G2"/>
      <c r="H2"/>
      <c r="I2"/>
      <c r="J2"/>
      <c r="K2"/>
      <c r="L2"/>
      <c r="M2"/>
    </row>
    <row r="3" spans="1:15" x14ac:dyDescent="0.2">
      <c r="D3"/>
      <c r="E3"/>
      <c r="F3"/>
      <c r="G3"/>
      <c r="H3"/>
      <c r="I3"/>
      <c r="J3"/>
      <c r="K3"/>
      <c r="L3"/>
      <c r="M3"/>
    </row>
    <row r="4" spans="1:15" ht="15" customHeight="1" x14ac:dyDescent="0.2">
      <c r="D4"/>
      <c r="E4"/>
      <c r="F4"/>
      <c r="G4"/>
      <c r="H4"/>
      <c r="I4"/>
      <c r="J4"/>
      <c r="K4"/>
      <c r="L4"/>
      <c r="M4"/>
    </row>
    <row r="5" spans="1:15" ht="15" customHeight="1" x14ac:dyDescent="0.2">
      <c r="D5"/>
      <c r="E5"/>
      <c r="F5"/>
      <c r="G5"/>
      <c r="H5"/>
      <c r="I5"/>
      <c r="J5"/>
      <c r="K5"/>
      <c r="L5"/>
      <c r="M5"/>
    </row>
    <row r="6" spans="1:15" ht="15" customHeight="1" x14ac:dyDescent="0.2">
      <c r="D6"/>
      <c r="E6"/>
      <c r="F6"/>
      <c r="G6"/>
      <c r="H6"/>
      <c r="I6"/>
      <c r="J6"/>
      <c r="K6"/>
      <c r="L6"/>
      <c r="M6"/>
    </row>
    <row r="7" spans="1:15" ht="15" customHeight="1" x14ac:dyDescent="0.2">
      <c r="D7"/>
      <c r="E7"/>
      <c r="F7"/>
      <c r="G7"/>
      <c r="H7"/>
      <c r="I7"/>
      <c r="J7"/>
      <c r="K7"/>
      <c r="L7"/>
      <c r="M7"/>
    </row>
    <row r="8" spans="1:15" ht="15" customHeight="1" x14ac:dyDescent="0.2">
      <c r="D8"/>
      <c r="E8"/>
      <c r="F8"/>
      <c r="G8"/>
      <c r="H8"/>
      <c r="I8"/>
      <c r="J8"/>
      <c r="K8"/>
      <c r="L8"/>
      <c r="M8"/>
    </row>
    <row r="9" spans="1:15" ht="15" customHeight="1" x14ac:dyDescent="0.2">
      <c r="D9"/>
      <c r="E9"/>
      <c r="F9"/>
      <c r="G9"/>
      <c r="H9"/>
      <c r="I9"/>
      <c r="J9"/>
      <c r="K9"/>
      <c r="L9"/>
      <c r="M9"/>
    </row>
    <row r="10" spans="1:15" ht="15" customHeight="1" x14ac:dyDescent="0.2">
      <c r="D10"/>
      <c r="E10"/>
      <c r="F10"/>
      <c r="G10"/>
      <c r="H10"/>
      <c r="I10"/>
      <c r="J10"/>
      <c r="K10"/>
      <c r="L10"/>
      <c r="M10"/>
    </row>
    <row r="11" spans="1:15" ht="15" customHeight="1" x14ac:dyDescent="0.2">
      <c r="D11"/>
      <c r="E11"/>
      <c r="F11"/>
      <c r="G11"/>
      <c r="H11"/>
      <c r="I11"/>
      <c r="J11"/>
      <c r="K11"/>
      <c r="L11"/>
      <c r="M11"/>
    </row>
    <row r="12" spans="1:15" ht="15" customHeight="1" x14ac:dyDescent="0.2">
      <c r="D12"/>
      <c r="E12"/>
      <c r="F12"/>
      <c r="G12"/>
      <c r="H12"/>
      <c r="I12"/>
      <c r="J12"/>
      <c r="K12"/>
      <c r="L12"/>
      <c r="M12"/>
    </row>
    <row r="13" spans="1:15" ht="15" customHeight="1" x14ac:dyDescent="0.2">
      <c r="D13"/>
      <c r="E13"/>
      <c r="F13"/>
      <c r="G13"/>
      <c r="H13"/>
      <c r="I13"/>
      <c r="J13"/>
      <c r="K13"/>
      <c r="L13"/>
      <c r="M13"/>
    </row>
    <row r="14" spans="1:15" ht="15" customHeight="1" x14ac:dyDescent="0.2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">
      <c r="D16"/>
      <c r="E16"/>
      <c r="F16"/>
      <c r="G16"/>
      <c r="H16"/>
      <c r="I16"/>
      <c r="J16"/>
      <c r="K16"/>
      <c r="L16"/>
      <c r="M16"/>
    </row>
    <row r="17" spans="1:15" x14ac:dyDescent="0.2">
      <c r="D17"/>
      <c r="E17"/>
      <c r="F17"/>
      <c r="G17"/>
      <c r="H17"/>
      <c r="I17"/>
      <c r="J17"/>
      <c r="K17"/>
      <c r="L17"/>
      <c r="M17"/>
    </row>
    <row r="18" spans="1:15" x14ac:dyDescent="0.2">
      <c r="D18"/>
      <c r="E18"/>
      <c r="F18"/>
      <c r="G18"/>
      <c r="H18"/>
      <c r="I18"/>
      <c r="J18"/>
      <c r="K18"/>
      <c r="L18"/>
      <c r="M18"/>
    </row>
    <row r="19" spans="1:15" s="105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">
      <c r="D20"/>
      <c r="E20"/>
      <c r="F20"/>
      <c r="G20"/>
      <c r="H20"/>
      <c r="I20"/>
      <c r="J20"/>
      <c r="K20"/>
      <c r="L20"/>
      <c r="M20"/>
    </row>
    <row r="21" spans="1:15" x14ac:dyDescent="0.2">
      <c r="D21"/>
      <c r="E21"/>
      <c r="F21"/>
      <c r="G21"/>
      <c r="H21"/>
      <c r="I21"/>
      <c r="J21"/>
      <c r="K21"/>
      <c r="L21"/>
      <c r="M21"/>
    </row>
    <row r="22" spans="1:15" x14ac:dyDescent="0.2">
      <c r="D22"/>
      <c r="E22"/>
      <c r="F22"/>
      <c r="G22"/>
      <c r="H22"/>
      <c r="I22"/>
      <c r="J22"/>
      <c r="K22"/>
      <c r="L22"/>
      <c r="M22"/>
    </row>
    <row r="23" spans="1:15" x14ac:dyDescent="0.2">
      <c r="D23"/>
      <c r="E23"/>
      <c r="F23"/>
      <c r="G23"/>
      <c r="H23"/>
      <c r="I23"/>
      <c r="J23"/>
      <c r="K23"/>
      <c r="L23"/>
      <c r="M23"/>
    </row>
    <row r="24" spans="1:15" x14ac:dyDescent="0.2">
      <c r="D24"/>
      <c r="E24"/>
      <c r="F24"/>
      <c r="G24"/>
      <c r="H24"/>
      <c r="I24"/>
      <c r="J24"/>
      <c r="K24"/>
      <c r="L24"/>
      <c r="M24"/>
    </row>
    <row r="25" spans="1:15" x14ac:dyDescent="0.2">
      <c r="D25"/>
      <c r="E25"/>
      <c r="F25"/>
      <c r="G25"/>
      <c r="H25"/>
      <c r="I25"/>
      <c r="J25"/>
      <c r="K25"/>
      <c r="L25"/>
      <c r="M25"/>
    </row>
    <row r="26" spans="1:15" x14ac:dyDescent="0.2">
      <c r="D26"/>
      <c r="E26"/>
      <c r="F26"/>
      <c r="G26"/>
      <c r="H26"/>
      <c r="I26"/>
      <c r="J26"/>
      <c r="K26"/>
      <c r="L26"/>
      <c r="M26"/>
    </row>
    <row r="27" spans="1:15" x14ac:dyDescent="0.2">
      <c r="D27"/>
      <c r="E27"/>
      <c r="F27"/>
      <c r="G27"/>
      <c r="H27"/>
      <c r="I27"/>
      <c r="J27"/>
      <c r="K27"/>
      <c r="L27"/>
      <c r="M27"/>
    </row>
    <row r="28" spans="1:15" x14ac:dyDescent="0.2">
      <c r="D28"/>
      <c r="E28"/>
      <c r="F28"/>
      <c r="G28"/>
      <c r="H28"/>
      <c r="I28"/>
      <c r="J28"/>
      <c r="K28"/>
      <c r="L28"/>
      <c r="M28"/>
    </row>
    <row r="29" spans="1:15" x14ac:dyDescent="0.2">
      <c r="D29"/>
      <c r="E29"/>
      <c r="F29"/>
      <c r="G29"/>
      <c r="H29"/>
      <c r="I29"/>
      <c r="J29"/>
      <c r="K29"/>
      <c r="L29"/>
      <c r="M29"/>
    </row>
    <row r="30" spans="1:15" x14ac:dyDescent="0.2">
      <c r="D30"/>
      <c r="E30"/>
      <c r="F30"/>
      <c r="G30"/>
      <c r="H30"/>
      <c r="I30"/>
      <c r="J30"/>
      <c r="K30"/>
      <c r="L30"/>
      <c r="M30"/>
    </row>
    <row r="31" spans="1:15" x14ac:dyDescent="0.2">
      <c r="D31"/>
      <c r="E31"/>
      <c r="F31"/>
      <c r="G31"/>
      <c r="H31"/>
      <c r="I31"/>
      <c r="J31"/>
      <c r="K31"/>
      <c r="L31"/>
      <c r="M31"/>
    </row>
    <row r="32" spans="1:15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/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42578125" style="47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562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2363481.65</v>
      </c>
      <c r="D5" s="233">
        <v>2140367.4300000002</v>
      </c>
      <c r="E5" s="33">
        <v>1858244.41</v>
      </c>
      <c r="F5" s="49">
        <f>E5/D5</f>
        <v>0.86818944446374791</v>
      </c>
      <c r="G5" s="33">
        <v>1858244.41</v>
      </c>
      <c r="H5" s="49">
        <f>G5/D5</f>
        <v>0.86818944446374791</v>
      </c>
      <c r="I5" s="33">
        <v>1858244.41</v>
      </c>
      <c r="J5" s="170">
        <f>I5/D5</f>
        <v>0.86818944446374791</v>
      </c>
      <c r="K5" s="31">
        <v>2203787.9</v>
      </c>
      <c r="L5" s="53">
        <v>0.90244686637794158</v>
      </c>
      <c r="M5" s="238">
        <f>I5/K5-1</f>
        <v>-0.15679525693012475</v>
      </c>
    </row>
    <row r="6" spans="1:13" ht="15" customHeight="1" x14ac:dyDescent="0.2">
      <c r="A6" s="23">
        <v>2</v>
      </c>
      <c r="B6" s="23" t="s">
        <v>1</v>
      </c>
      <c r="C6" s="177">
        <v>3941110.48</v>
      </c>
      <c r="D6" s="233">
        <v>3493306.54</v>
      </c>
      <c r="E6" s="33">
        <v>3433998.54</v>
      </c>
      <c r="F6" s="49">
        <f>E6/D6</f>
        <v>0.98302238886828408</v>
      </c>
      <c r="G6" s="33">
        <v>3401955.82</v>
      </c>
      <c r="H6" s="49">
        <f>G6/D6</f>
        <v>0.97384978416466128</v>
      </c>
      <c r="I6" s="33">
        <v>1963411.86</v>
      </c>
      <c r="J6" s="170">
        <f>I6/D6</f>
        <v>0.56204969060631027</v>
      </c>
      <c r="K6" s="33">
        <v>1077595.18</v>
      </c>
      <c r="L6" s="55">
        <v>0.30198111369832586</v>
      </c>
      <c r="M6" s="238">
        <f>I6/K6-1</f>
        <v>0.82203103395469923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321" t="s">
        <v>129</v>
      </c>
      <c r="G7" s="33"/>
      <c r="H7" s="321" t="s">
        <v>129</v>
      </c>
      <c r="I7" s="33"/>
      <c r="J7" s="196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300000</v>
      </c>
      <c r="D8" s="233">
        <v>12639.91</v>
      </c>
      <c r="E8" s="33">
        <v>12639.91</v>
      </c>
      <c r="F8" s="86">
        <f t="shared" ref="F8" si="0">E8/D8</f>
        <v>1</v>
      </c>
      <c r="G8" s="198">
        <v>12639.91</v>
      </c>
      <c r="H8" s="86">
        <f t="shared" ref="H8" si="1">G8/D8</f>
        <v>1</v>
      </c>
      <c r="I8" s="198">
        <v>12639.91</v>
      </c>
      <c r="J8" s="190">
        <f t="shared" ref="J8" si="2">I8/D8</f>
        <v>1</v>
      </c>
      <c r="K8" s="35">
        <v>833994.58</v>
      </c>
      <c r="L8" s="375">
        <v>1</v>
      </c>
      <c r="M8" s="238">
        <f>I8/K8-1</f>
        <v>-0.98484413411895311</v>
      </c>
    </row>
    <row r="9" spans="1:13" ht="15" customHeight="1" x14ac:dyDescent="0.2">
      <c r="A9" s="9"/>
      <c r="B9" s="2" t="s">
        <v>4</v>
      </c>
      <c r="C9" s="179">
        <f>SUM(C5:C8)</f>
        <v>6604592.1299999999</v>
      </c>
      <c r="D9" s="169">
        <f t="shared" ref="D9:I9" si="3">SUM(D5:D8)</f>
        <v>5646313.8800000008</v>
      </c>
      <c r="E9" s="92">
        <f t="shared" si="3"/>
        <v>5304882.8600000003</v>
      </c>
      <c r="F9" s="98">
        <f>E9/D9</f>
        <v>0.93953027988589244</v>
      </c>
      <c r="G9" s="92">
        <f t="shared" si="3"/>
        <v>5272840.1399999997</v>
      </c>
      <c r="H9" s="98">
        <f>G9/D9</f>
        <v>0.93385529959237745</v>
      </c>
      <c r="I9" s="92">
        <f t="shared" si="3"/>
        <v>3834296.18</v>
      </c>
      <c r="J9" s="188">
        <f>I9/D9</f>
        <v>0.67907953073271221</v>
      </c>
      <c r="K9" s="92">
        <f>SUM(K5:K8)</f>
        <v>4115377.66</v>
      </c>
      <c r="L9" s="44">
        <v>0.60099999999999998</v>
      </c>
      <c r="M9" s="242">
        <f>I9/K9-1</f>
        <v>-6.8300288144150567E-2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49" t="s">
        <v>129</v>
      </c>
      <c r="G10" s="153"/>
      <c r="H10" s="49" t="s">
        <v>129</v>
      </c>
      <c r="I10" s="153"/>
      <c r="J10" s="170" t="s">
        <v>129</v>
      </c>
      <c r="K10" s="153"/>
      <c r="L10" s="53"/>
      <c r="M10" s="254" t="s">
        <v>129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/>
      <c r="H11" s="50" t="s">
        <v>129</v>
      </c>
      <c r="I11" s="154"/>
      <c r="J11" s="170" t="s">
        <v>129</v>
      </c>
      <c r="K11" s="154"/>
      <c r="L11" s="56"/>
      <c r="M11" s="254" t="s">
        <v>129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4">SUM(D10:D11)</f>
        <v>0</v>
      </c>
      <c r="E12" s="92">
        <f t="shared" si="4"/>
        <v>0</v>
      </c>
      <c r="F12" s="98" t="s">
        <v>129</v>
      </c>
      <c r="G12" s="92">
        <f t="shared" si="4"/>
        <v>0</v>
      </c>
      <c r="H12" s="98" t="s">
        <v>129</v>
      </c>
      <c r="I12" s="92">
        <f t="shared" si="4"/>
        <v>0</v>
      </c>
      <c r="J12" s="253" t="s">
        <v>129</v>
      </c>
      <c r="K12" s="92">
        <f>SUM(K10:K11)</f>
        <v>0</v>
      </c>
      <c r="L12" s="44" t="s">
        <v>129</v>
      </c>
      <c r="M12" s="255" t="s">
        <v>129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1"/>
      <c r="L13" s="57"/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35"/>
      <c r="L14" s="56"/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5">SUM(D13:D14)</f>
        <v>0</v>
      </c>
      <c r="E15" s="92">
        <f t="shared" si="5"/>
        <v>0</v>
      </c>
      <c r="F15" s="62" t="s">
        <v>129</v>
      </c>
      <c r="G15" s="92">
        <f t="shared" si="5"/>
        <v>0</v>
      </c>
      <c r="H15" s="62" t="s">
        <v>129</v>
      </c>
      <c r="I15" s="92">
        <f t="shared" si="5"/>
        <v>0</v>
      </c>
      <c r="J15" s="253" t="s">
        <v>129</v>
      </c>
      <c r="K15" s="92">
        <f>SUM(K13:K14)</f>
        <v>0</v>
      </c>
      <c r="L15" s="107" t="s">
        <v>129</v>
      </c>
      <c r="M15" s="245" t="s">
        <v>129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6604592.1299999999</v>
      </c>
      <c r="D16" s="171">
        <f t="shared" ref="D16:I16" si="6">+D9+D12+D15</f>
        <v>5646313.8800000008</v>
      </c>
      <c r="E16" s="172">
        <f t="shared" si="6"/>
        <v>5304882.8600000003</v>
      </c>
      <c r="F16" s="199">
        <f>E16/D16</f>
        <v>0.93953027988589244</v>
      </c>
      <c r="G16" s="172">
        <f t="shared" si="6"/>
        <v>5272840.1399999997</v>
      </c>
      <c r="H16" s="199">
        <f>G16/D16</f>
        <v>0.93385529959237745</v>
      </c>
      <c r="I16" s="172">
        <f t="shared" si="6"/>
        <v>3834296.18</v>
      </c>
      <c r="J16" s="191">
        <f>I16/D16</f>
        <v>0.67907953073271221</v>
      </c>
      <c r="K16" s="164">
        <f>K9+K12+K15</f>
        <v>4115377.66</v>
      </c>
      <c r="L16" s="208">
        <v>0.60099999999999998</v>
      </c>
      <c r="M16" s="246">
        <f>I16/K16-1</f>
        <v>-6.8300288144150567E-2</v>
      </c>
    </row>
    <row r="21" spans="5:5" x14ac:dyDescent="0.2">
      <c r="E21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1"/>
  <sheetViews>
    <sheetView workbookViewId="0">
      <selection activeCell="A3" sqref="A3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285156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3" spans="1:13" ht="15" x14ac:dyDescent="0.25">
      <c r="A3" s="7" t="s">
        <v>562</v>
      </c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24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I10" sqref="I10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" style="47" customWidth="1"/>
    <col min="6" max="6" width="6.28515625" style="105" customWidth="1"/>
    <col min="7" max="7" width="11" style="47" customWidth="1"/>
    <col min="8" max="8" width="6.28515625" style="105" customWidth="1"/>
    <col min="9" max="9" width="11" style="47" customWidth="1"/>
    <col min="10" max="10" width="6.28515625" style="105" customWidth="1"/>
    <col min="11" max="11" width="8.7109375" style="47" bestFit="1" customWidth="1"/>
    <col min="12" max="12" width="6.28515625" style="105" customWidth="1"/>
    <col min="13" max="13" width="8" style="105" bestFit="1" customWidth="1"/>
  </cols>
  <sheetData>
    <row r="1" spans="1:13" ht="15.75" thickBot="1" x14ac:dyDescent="0.3">
      <c r="A1" s="7" t="s">
        <v>563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2564243.41</v>
      </c>
      <c r="D5" s="233">
        <v>2140367.4300000002</v>
      </c>
      <c r="E5" s="33">
        <v>1858244.41</v>
      </c>
      <c r="F5" s="49">
        <f>E5/D5</f>
        <v>0.86818944446374791</v>
      </c>
      <c r="G5" s="33">
        <v>1858244.41</v>
      </c>
      <c r="H5" s="49">
        <f>G5/D5</f>
        <v>0.86818944446374791</v>
      </c>
      <c r="I5" s="33">
        <v>1858244.41</v>
      </c>
      <c r="J5" s="170">
        <f>I5/D5</f>
        <v>0.86818944446374791</v>
      </c>
      <c r="K5" s="31">
        <v>2365522.69</v>
      </c>
      <c r="L5" s="53">
        <v>0.89870842458178868</v>
      </c>
      <c r="M5" s="238">
        <f>I5/K5-1</f>
        <v>-0.21444659235122365</v>
      </c>
    </row>
    <row r="6" spans="1:13" ht="15" customHeight="1" x14ac:dyDescent="0.2">
      <c r="A6" s="23">
        <v>2</v>
      </c>
      <c r="B6" s="23" t="s">
        <v>1</v>
      </c>
      <c r="C6" s="177">
        <v>33849543.229999997</v>
      </c>
      <c r="D6" s="233">
        <v>3493306.54</v>
      </c>
      <c r="E6" s="33">
        <v>3433998.54</v>
      </c>
      <c r="F6" s="49">
        <f>E6/D6</f>
        <v>0.98302238886828408</v>
      </c>
      <c r="G6" s="33">
        <v>3401955.82</v>
      </c>
      <c r="H6" s="49">
        <f>G6/D6</f>
        <v>0.97384978416466128</v>
      </c>
      <c r="I6" s="33">
        <v>1963411.86</v>
      </c>
      <c r="J6" s="196">
        <f>I6/D6</f>
        <v>0.56204969060631027</v>
      </c>
      <c r="K6" s="33">
        <v>20889984.789999999</v>
      </c>
      <c r="L6" s="55">
        <v>0.78795792522651409</v>
      </c>
      <c r="M6" s="238">
        <f>I6/K6-1</f>
        <v>-0.90601180997796216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49" t="s">
        <v>129</v>
      </c>
      <c r="G7" s="33"/>
      <c r="H7" s="49" t="s">
        <v>129</v>
      </c>
      <c r="I7" s="33"/>
      <c r="J7" s="196" t="s">
        <v>129</v>
      </c>
      <c r="K7" s="379"/>
      <c r="L7" s="55" t="s">
        <v>129</v>
      </c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7">
        <v>7033702.4500000002</v>
      </c>
      <c r="D8" s="233">
        <v>12639.91</v>
      </c>
      <c r="E8" s="33">
        <v>12639.91</v>
      </c>
      <c r="F8" s="49">
        <f t="shared" ref="F8" si="0">E8/D8</f>
        <v>1</v>
      </c>
      <c r="G8" s="33">
        <v>12639.91</v>
      </c>
      <c r="H8" s="49">
        <f t="shared" ref="H8" si="1">G8/D8</f>
        <v>1</v>
      </c>
      <c r="I8" s="33">
        <v>12639.91</v>
      </c>
      <c r="J8" s="190">
        <f>I8/D8</f>
        <v>1</v>
      </c>
      <c r="K8" s="35">
        <v>7033702.4500000002</v>
      </c>
      <c r="L8" s="375">
        <v>0.98901903391686452</v>
      </c>
      <c r="M8" s="529">
        <f>I7/K8-1</f>
        <v>-1</v>
      </c>
    </row>
    <row r="9" spans="1:13" ht="15" customHeight="1" x14ac:dyDescent="0.2">
      <c r="A9" s="9"/>
      <c r="B9" s="2" t="s">
        <v>4</v>
      </c>
      <c r="C9" s="179">
        <f>SUM(C5:C8)</f>
        <v>43447489.090000004</v>
      </c>
      <c r="D9" s="169">
        <f>SUM(D5:D8)</f>
        <v>5646313.8800000008</v>
      </c>
      <c r="E9" s="92">
        <f>SUM(E5:E8)</f>
        <v>5304882.8600000003</v>
      </c>
      <c r="F9" s="98">
        <f>E9/D9</f>
        <v>0.93953027988589244</v>
      </c>
      <c r="G9" s="92">
        <f>SUM(G5:G8)</f>
        <v>5272840.1399999997</v>
      </c>
      <c r="H9" s="98">
        <f>G9/D9</f>
        <v>0.93385529959237745</v>
      </c>
      <c r="I9" s="92">
        <f>SUM(I5:I8)</f>
        <v>3834296.18</v>
      </c>
      <c r="J9" s="188">
        <f>I9/D9</f>
        <v>0.67907953073271221</v>
      </c>
      <c r="K9" s="92">
        <f t="shared" ref="K9" si="2">SUM(K5:K8)</f>
        <v>30289209.93</v>
      </c>
      <c r="L9" s="44">
        <v>0.83499999999999996</v>
      </c>
      <c r="M9" s="242">
        <f>I9/K9-1</f>
        <v>-0.87341049209070598</v>
      </c>
    </row>
    <row r="10" spans="1:13" ht="15" customHeight="1" x14ac:dyDescent="0.2">
      <c r="A10" s="21">
        <v>6</v>
      </c>
      <c r="B10" s="21" t="s">
        <v>5</v>
      </c>
      <c r="C10" s="177">
        <v>13187153.26</v>
      </c>
      <c r="D10" s="233">
        <v>12639.91</v>
      </c>
      <c r="E10" s="31">
        <v>12639.91</v>
      </c>
      <c r="F10" s="49">
        <f>E10/D10</f>
        <v>1</v>
      </c>
      <c r="G10" s="153">
        <v>12639.91</v>
      </c>
      <c r="H10" s="49">
        <f>G10/D10</f>
        <v>1</v>
      </c>
      <c r="I10" s="153">
        <v>12639.91</v>
      </c>
      <c r="J10" s="170">
        <f>I10/D10</f>
        <v>1</v>
      </c>
      <c r="K10" s="153">
        <v>7274571.3399999999</v>
      </c>
      <c r="L10" s="53">
        <v>0.53602329311490793</v>
      </c>
      <c r="M10" s="254">
        <f>I10/K10-1</f>
        <v>-0.99826245294612781</v>
      </c>
    </row>
    <row r="11" spans="1:13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/>
      <c r="H11" s="50" t="s">
        <v>129</v>
      </c>
      <c r="I11" s="154"/>
      <c r="J11" s="170" t="s">
        <v>129</v>
      </c>
      <c r="K11" s="487" t="s">
        <v>129</v>
      </c>
      <c r="L11" s="56" t="s">
        <v>129</v>
      </c>
      <c r="M11" s="254" t="s">
        <v>129</v>
      </c>
    </row>
    <row r="12" spans="1:13" ht="15" customHeight="1" x14ac:dyDescent="0.2">
      <c r="A12" s="9"/>
      <c r="B12" s="2" t="s">
        <v>7</v>
      </c>
      <c r="C12" s="179">
        <f>SUM(C10:C11)</f>
        <v>13187153.26</v>
      </c>
      <c r="D12" s="169">
        <f t="shared" ref="D12:K12" si="3">SUM(D10:D11)</f>
        <v>12639.91</v>
      </c>
      <c r="E12" s="92">
        <f t="shared" si="3"/>
        <v>12639.91</v>
      </c>
      <c r="F12" s="98">
        <f>E12/D12</f>
        <v>1</v>
      </c>
      <c r="G12" s="92">
        <f t="shared" si="3"/>
        <v>12639.91</v>
      </c>
      <c r="H12" s="98">
        <f>G12/D12</f>
        <v>1</v>
      </c>
      <c r="I12" s="92">
        <f t="shared" si="3"/>
        <v>12639.91</v>
      </c>
      <c r="J12" s="188">
        <f>I12/D12</f>
        <v>1</v>
      </c>
      <c r="K12" s="92">
        <f t="shared" si="3"/>
        <v>7274571.3399999999</v>
      </c>
      <c r="L12" s="44">
        <v>0.53600000000000003</v>
      </c>
      <c r="M12" s="255">
        <f>I12/K12-1</f>
        <v>-0.99826245294612781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94" t="s">
        <v>129</v>
      </c>
      <c r="G13" s="31"/>
      <c r="H13" s="94" t="s">
        <v>129</v>
      </c>
      <c r="I13" s="31"/>
      <c r="J13" s="251" t="s">
        <v>129</v>
      </c>
      <c r="K13" s="31"/>
      <c r="L13" s="57" t="s">
        <v>129</v>
      </c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50" t="s">
        <v>129</v>
      </c>
      <c r="G14" s="35"/>
      <c r="H14" s="50" t="s">
        <v>129</v>
      </c>
      <c r="I14" s="35"/>
      <c r="J14" s="252" t="s">
        <v>129</v>
      </c>
      <c r="K14" s="35"/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K15" si="4">SUM(D13:D14)</f>
        <v>0</v>
      </c>
      <c r="E15" s="92">
        <f t="shared" si="4"/>
        <v>0</v>
      </c>
      <c r="F15" s="62" t="s">
        <v>129</v>
      </c>
      <c r="G15" s="92">
        <f t="shared" si="4"/>
        <v>0</v>
      </c>
      <c r="H15" s="62" t="s">
        <v>129</v>
      </c>
      <c r="I15" s="92">
        <f t="shared" si="4"/>
        <v>0</v>
      </c>
      <c r="J15" s="253" t="s">
        <v>129</v>
      </c>
      <c r="K15" s="92">
        <f t="shared" si="4"/>
        <v>0</v>
      </c>
      <c r="L15" s="107" t="s">
        <v>129</v>
      </c>
      <c r="M15" s="558" t="s">
        <v>129</v>
      </c>
    </row>
    <row r="16" spans="1:13" s="6" customFormat="1" ht="24" customHeight="1" thickBot="1" x14ac:dyDescent="0.25">
      <c r="A16" s="5"/>
      <c r="B16" s="4" t="s">
        <v>11</v>
      </c>
      <c r="C16" s="180">
        <f>+C9+C12+C15</f>
        <v>56634642.350000001</v>
      </c>
      <c r="D16" s="171">
        <f t="shared" ref="D16:K16" si="5">+D9+D12+D15</f>
        <v>5658953.790000001</v>
      </c>
      <c r="E16" s="172">
        <f t="shared" si="5"/>
        <v>5317522.7700000005</v>
      </c>
      <c r="F16" s="199">
        <f>E16/D16</f>
        <v>0.9396653458094415</v>
      </c>
      <c r="G16" s="172">
        <f t="shared" si="5"/>
        <v>5285480.05</v>
      </c>
      <c r="H16" s="199">
        <f>G16/D16</f>
        <v>0.93400304122292521</v>
      </c>
      <c r="I16" s="172">
        <f t="shared" si="5"/>
        <v>3846936.0900000003</v>
      </c>
      <c r="J16" s="191">
        <f>I16/D16</f>
        <v>0.67979634270878175</v>
      </c>
      <c r="K16" s="164">
        <f t="shared" si="5"/>
        <v>37563781.269999996</v>
      </c>
      <c r="L16" s="208">
        <v>0.754</v>
      </c>
      <c r="M16" s="255">
        <f>I16/K16-1</f>
        <v>-0.89758922132068941</v>
      </c>
    </row>
    <row r="21" spans="5:5" x14ac:dyDescent="0.2">
      <c r="E21" s="198"/>
    </row>
    <row r="22" spans="5:5" x14ac:dyDescent="0.2">
      <c r="E22" s="198"/>
    </row>
    <row r="23" spans="5:5" x14ac:dyDescent="0.2">
      <c r="E23" s="198"/>
    </row>
    <row r="24" spans="5:5" x14ac:dyDescent="0.2">
      <c r="E24" s="198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workbookViewId="0">
      <selection activeCell="A2" sqref="A2"/>
    </sheetView>
  </sheetViews>
  <sheetFormatPr defaultColWidth="11.42578125" defaultRowHeight="12.75" x14ac:dyDescent="0.2"/>
  <cols>
    <col min="1" max="1" width="2.7109375" customWidth="1"/>
    <col min="2" max="2" width="31.7109375" bestFit="1" customWidth="1"/>
    <col min="3" max="3" width="11.85546875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8.140625" style="47" customWidth="1"/>
    <col min="12" max="12" width="6.28515625" style="105" customWidth="1"/>
    <col min="13" max="13" width="8" style="105" bestFit="1" customWidth="1"/>
  </cols>
  <sheetData>
    <row r="2" spans="1:13" ht="15" x14ac:dyDescent="0.25">
      <c r="A2" s="7" t="s">
        <v>563</v>
      </c>
    </row>
    <row r="3" spans="1:13" ht="15" x14ac:dyDescent="0.25">
      <c r="A3" s="7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5" customHeight="1" x14ac:dyDescent="0.2">
      <c r="D17"/>
      <c r="E17"/>
      <c r="F17"/>
      <c r="G17"/>
      <c r="H17"/>
      <c r="I17"/>
      <c r="J17"/>
      <c r="K17"/>
      <c r="L17"/>
      <c r="M17"/>
    </row>
    <row r="18" spans="4:13" ht="24" customHeight="1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  <row r="20" spans="4:13" x14ac:dyDescent="0.2">
      <c r="D20"/>
      <c r="E20"/>
      <c r="F20"/>
      <c r="G20"/>
      <c r="H20"/>
      <c r="I20"/>
      <c r="J20"/>
      <c r="K20"/>
      <c r="L20"/>
      <c r="M20"/>
    </row>
    <row r="21" spans="4:13" x14ac:dyDescent="0.2">
      <c r="D21"/>
      <c r="E21"/>
      <c r="F21"/>
      <c r="G21"/>
      <c r="H21"/>
      <c r="I21"/>
      <c r="J21"/>
      <c r="K21"/>
      <c r="L21"/>
      <c r="M21"/>
    </row>
    <row r="22" spans="4:13" x14ac:dyDescent="0.2">
      <c r="D22"/>
      <c r="E22"/>
      <c r="F22"/>
      <c r="G22"/>
      <c r="H22"/>
      <c r="I22"/>
      <c r="J22"/>
      <c r="K22"/>
      <c r="L22"/>
      <c r="M22"/>
    </row>
    <row r="23" spans="4:13" x14ac:dyDescent="0.2">
      <c r="D23"/>
      <c r="E23"/>
      <c r="F23"/>
      <c r="G23"/>
      <c r="H23"/>
      <c r="I23"/>
      <c r="J23"/>
      <c r="K23"/>
      <c r="L23"/>
      <c r="M23"/>
    </row>
    <row r="24" spans="4:13" x14ac:dyDescent="0.2">
      <c r="D24"/>
      <c r="E24"/>
      <c r="F24"/>
      <c r="G24"/>
      <c r="H24"/>
      <c r="I24"/>
      <c r="J24"/>
      <c r="K24"/>
      <c r="L24"/>
      <c r="M24"/>
    </row>
    <row r="25" spans="4:13" x14ac:dyDescent="0.2">
      <c r="D25"/>
      <c r="E25"/>
      <c r="F25"/>
      <c r="G25"/>
      <c r="H25"/>
      <c r="I25"/>
      <c r="J25"/>
      <c r="K25"/>
      <c r="L25"/>
      <c r="M25"/>
    </row>
    <row r="26" spans="4:13" x14ac:dyDescent="0.2">
      <c r="D26"/>
      <c r="E26"/>
      <c r="F26"/>
      <c r="G26"/>
      <c r="H26"/>
      <c r="I26"/>
      <c r="J26"/>
      <c r="K26"/>
      <c r="L26"/>
      <c r="M26"/>
    </row>
    <row r="27" spans="4:13" x14ac:dyDescent="0.2">
      <c r="D27"/>
      <c r="E27"/>
      <c r="F27"/>
      <c r="G27"/>
      <c r="H27"/>
      <c r="I27"/>
      <c r="J27"/>
      <c r="K27"/>
      <c r="L27"/>
      <c r="M27"/>
    </row>
    <row r="28" spans="4:13" x14ac:dyDescent="0.2">
      <c r="D28"/>
      <c r="E28"/>
      <c r="F28"/>
      <c r="G28"/>
      <c r="H28"/>
      <c r="I28"/>
      <c r="J28"/>
      <c r="K28"/>
      <c r="L28"/>
      <c r="M28"/>
    </row>
    <row r="29" spans="4:13" x14ac:dyDescent="0.2">
      <c r="D29"/>
      <c r="E29"/>
      <c r="F29"/>
      <c r="G29"/>
      <c r="H29"/>
      <c r="I29"/>
      <c r="J29"/>
      <c r="K29"/>
      <c r="L29"/>
      <c r="M29"/>
    </row>
    <row r="30" spans="4:13" x14ac:dyDescent="0.2">
      <c r="D30"/>
      <c r="E30"/>
      <c r="F30"/>
      <c r="G30"/>
      <c r="H30"/>
      <c r="I30"/>
      <c r="J30"/>
      <c r="K30"/>
      <c r="L30"/>
      <c r="M30"/>
    </row>
    <row r="31" spans="4:13" x14ac:dyDescent="0.2">
      <c r="D31"/>
      <c r="E31"/>
      <c r="F31"/>
      <c r="G31"/>
      <c r="H31"/>
      <c r="I31"/>
      <c r="J31"/>
      <c r="K31"/>
      <c r="L31"/>
      <c r="M31"/>
    </row>
    <row r="32" spans="4:13" x14ac:dyDescent="0.2">
      <c r="D32"/>
      <c r="E32"/>
      <c r="F32"/>
      <c r="G32"/>
      <c r="H32"/>
      <c r="I32"/>
      <c r="J32"/>
      <c r="K32"/>
      <c r="L32"/>
      <c r="M32"/>
    </row>
    <row r="33" spans="4:13" x14ac:dyDescent="0.2">
      <c r="D33"/>
      <c r="E33"/>
      <c r="F33"/>
      <c r="G33"/>
      <c r="H33"/>
      <c r="I33"/>
      <c r="J33"/>
      <c r="K33"/>
      <c r="L33"/>
      <c r="M33"/>
    </row>
    <row r="34" spans="4:13" x14ac:dyDescent="0.2">
      <c r="D34"/>
      <c r="E34"/>
      <c r="F34"/>
      <c r="G34"/>
      <c r="H34"/>
      <c r="I34"/>
      <c r="J34"/>
      <c r="K34"/>
      <c r="L34"/>
      <c r="M34"/>
    </row>
    <row r="35" spans="4:13" x14ac:dyDescent="0.2">
      <c r="D35"/>
      <c r="E35"/>
      <c r="F35"/>
      <c r="G35"/>
      <c r="H35"/>
      <c r="I35"/>
      <c r="J35"/>
      <c r="K35"/>
      <c r="L35"/>
      <c r="M35"/>
    </row>
    <row r="36" spans="4:13" x14ac:dyDescent="0.2">
      <c r="D36"/>
      <c r="E36"/>
      <c r="F36"/>
      <c r="G36"/>
      <c r="H36"/>
      <c r="I36"/>
      <c r="J36"/>
      <c r="K36"/>
      <c r="L36"/>
      <c r="M36"/>
    </row>
    <row r="37" spans="4:13" x14ac:dyDescent="0.2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Normal="100" workbookViewId="0">
      <selection activeCell="P8" sqref="P8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5.42578125" bestFit="1" customWidth="1"/>
    <col min="4" max="4" width="7.7109375" style="109" customWidth="1"/>
    <col min="5" max="5" width="11.140625" bestFit="1" customWidth="1"/>
    <col min="6" max="6" width="7.7109375" customWidth="1"/>
    <col min="7" max="7" width="10.85546875" bestFit="1" customWidth="1"/>
    <col min="8" max="8" width="7.7109375" customWidth="1"/>
    <col min="9" max="9" width="6.28515625" customWidth="1"/>
    <col min="10" max="10" width="11.7109375" customWidth="1"/>
    <col min="11" max="11" width="6.28515625" style="105" customWidth="1"/>
    <col min="12" max="12" width="10.85546875" customWidth="1"/>
    <col min="13" max="13" width="6.28515625" style="105" customWidth="1"/>
    <col min="14" max="14" width="7.140625" customWidth="1"/>
    <col min="15" max="15" width="4.42578125" customWidth="1"/>
  </cols>
  <sheetData>
    <row r="1" spans="1:13" ht="15" x14ac:dyDescent="0.25">
      <c r="A1" s="7" t="s">
        <v>41</v>
      </c>
    </row>
    <row r="2" spans="1:13" x14ac:dyDescent="0.2">
      <c r="A2" s="8" t="s">
        <v>20</v>
      </c>
      <c r="D2"/>
      <c r="K2"/>
      <c r="M2"/>
    </row>
    <row r="3" spans="1:13" x14ac:dyDescent="0.2">
      <c r="D3"/>
      <c r="K3"/>
      <c r="M3"/>
    </row>
    <row r="4" spans="1:13" ht="30" customHeight="1" x14ac:dyDescent="0.2">
      <c r="D4"/>
      <c r="K4"/>
      <c r="M4"/>
    </row>
    <row r="5" spans="1:13" ht="15" customHeight="1" x14ac:dyDescent="0.2">
      <c r="D5"/>
      <c r="K5"/>
      <c r="M5"/>
    </row>
    <row r="6" spans="1:13" ht="15" customHeight="1" x14ac:dyDescent="0.2">
      <c r="D6"/>
      <c r="K6"/>
      <c r="M6"/>
    </row>
    <row r="7" spans="1:13" ht="15" customHeight="1" x14ac:dyDescent="0.2">
      <c r="D7"/>
      <c r="K7"/>
      <c r="M7"/>
    </row>
    <row r="8" spans="1:13" ht="15" customHeight="1" x14ac:dyDescent="0.2">
      <c r="D8"/>
      <c r="K8"/>
      <c r="M8"/>
    </row>
    <row r="9" spans="1:13" ht="15" customHeight="1" x14ac:dyDescent="0.2">
      <c r="D9"/>
      <c r="K9"/>
      <c r="M9"/>
    </row>
    <row r="10" spans="1:13" ht="15" customHeight="1" x14ac:dyDescent="0.2">
      <c r="D10"/>
      <c r="K10"/>
      <c r="M10"/>
    </row>
    <row r="11" spans="1:13" ht="15" customHeight="1" x14ac:dyDescent="0.2">
      <c r="D11"/>
      <c r="K11"/>
      <c r="M11"/>
    </row>
    <row r="12" spans="1:13" ht="15" customHeight="1" x14ac:dyDescent="0.2">
      <c r="D12"/>
      <c r="K12"/>
      <c r="M12"/>
    </row>
    <row r="13" spans="1:13" ht="15" customHeight="1" x14ac:dyDescent="0.2">
      <c r="D13"/>
      <c r="K13"/>
      <c r="M13"/>
    </row>
    <row r="14" spans="1:13" ht="15" customHeight="1" x14ac:dyDescent="0.2">
      <c r="D14"/>
      <c r="K14"/>
      <c r="M14"/>
    </row>
    <row r="15" spans="1:13" ht="15" customHeight="1" x14ac:dyDescent="0.2">
      <c r="D15"/>
      <c r="K15"/>
      <c r="M15"/>
    </row>
    <row r="16" spans="1:13" ht="15" customHeight="1" x14ac:dyDescent="0.2">
      <c r="D16"/>
      <c r="K16"/>
      <c r="M16"/>
    </row>
    <row r="17" spans="1:16" ht="15" customHeight="1" x14ac:dyDescent="0.2">
      <c r="D17"/>
      <c r="K17"/>
      <c r="M17"/>
    </row>
    <row r="18" spans="1:16" s="6" customFormat="1" ht="19.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">
      <c r="D19"/>
      <c r="K19"/>
      <c r="M19"/>
    </row>
    <row r="20" spans="1:16" x14ac:dyDescent="0.2">
      <c r="D20"/>
      <c r="K20"/>
      <c r="M20"/>
    </row>
    <row r="21" spans="1:16" s="539" customForma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3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3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3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53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53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539" customFormat="1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539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539" customFormat="1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">
      <c r="D30"/>
      <c r="K30"/>
      <c r="M30"/>
    </row>
    <row r="31" spans="1:16" x14ac:dyDescent="0.2">
      <c r="D31"/>
      <c r="K31"/>
      <c r="M31"/>
    </row>
    <row r="32" spans="1:16" x14ac:dyDescent="0.2">
      <c r="D32"/>
      <c r="K32"/>
      <c r="M32"/>
    </row>
    <row r="33" spans="4:13" x14ac:dyDescent="0.2">
      <c r="D33"/>
      <c r="K33"/>
      <c r="M33"/>
    </row>
    <row r="34" spans="4:13" x14ac:dyDescent="0.2">
      <c r="D34"/>
      <c r="K34"/>
      <c r="M34"/>
    </row>
    <row r="35" spans="4:13" x14ac:dyDescent="0.2">
      <c r="D35"/>
      <c r="K35"/>
      <c r="M35"/>
    </row>
    <row r="36" spans="4:13" x14ac:dyDescent="0.2">
      <c r="D36"/>
      <c r="K36"/>
      <c r="M3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O28"/>
  <sheetViews>
    <sheetView zoomScaleNormal="100" workbookViewId="0">
      <selection activeCell="L13" sqref="L1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3" ht="15.75" thickBot="1" x14ac:dyDescent="0.3">
      <c r="A1" s="7" t="s">
        <v>564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8">
        <v>4468174.29</v>
      </c>
      <c r="D5" s="233">
        <v>6665106.1600000001</v>
      </c>
      <c r="E5" s="33">
        <v>6664983.9500000002</v>
      </c>
      <c r="F5" s="49">
        <f>E5/D5</f>
        <v>0.99998166420803114</v>
      </c>
      <c r="G5" s="33">
        <v>6664983.9500000002</v>
      </c>
      <c r="H5" s="49">
        <f>G5/D5</f>
        <v>0.99998166420803114</v>
      </c>
      <c r="I5" s="33">
        <v>6664983.9500000002</v>
      </c>
      <c r="J5" s="170">
        <f>I5/D5</f>
        <v>0.99998166420803114</v>
      </c>
      <c r="K5" s="150">
        <v>3860515.32</v>
      </c>
      <c r="L5" s="53">
        <f>+K5/4345287</f>
        <v>0.88843736213511326</v>
      </c>
      <c r="M5" s="238">
        <f>+I5/K5-1</f>
        <v>0.72644929433928529</v>
      </c>
    </row>
    <row r="6" spans="1:13" ht="15" customHeight="1" x14ac:dyDescent="0.2">
      <c r="A6" s="23">
        <v>2</v>
      </c>
      <c r="B6" s="23" t="s">
        <v>1</v>
      </c>
      <c r="C6" s="178">
        <v>19203722.579999998</v>
      </c>
      <c r="D6" s="233">
        <v>18449066.140000001</v>
      </c>
      <c r="E6" s="33">
        <v>18221094.52</v>
      </c>
      <c r="F6" s="49">
        <f>E6/D6</f>
        <v>0.98764318918529281</v>
      </c>
      <c r="G6" s="33">
        <v>18012335.16</v>
      </c>
      <c r="H6" s="49">
        <f>G6/D6</f>
        <v>0.97632774598530436</v>
      </c>
      <c r="I6" s="33">
        <v>14249361.41</v>
      </c>
      <c r="J6" s="170">
        <f>I6/D6</f>
        <v>0.77236220532081634</v>
      </c>
      <c r="K6" s="150">
        <v>791006.74</v>
      </c>
      <c r="L6" s="55">
        <f>+K6/2402138.43</f>
        <v>0.32929273772119783</v>
      </c>
      <c r="M6" s="238">
        <f>+I6/K6-1</f>
        <v>17.014209853635382</v>
      </c>
    </row>
    <row r="7" spans="1:13" ht="15" customHeight="1" x14ac:dyDescent="0.2">
      <c r="A7" s="23">
        <v>3</v>
      </c>
      <c r="B7" s="23" t="s">
        <v>2</v>
      </c>
      <c r="C7" s="178"/>
      <c r="D7" s="233"/>
      <c r="E7" s="33"/>
      <c r="F7" s="27" t="s">
        <v>129</v>
      </c>
      <c r="G7" s="33"/>
      <c r="H7" s="27" t="s">
        <v>129</v>
      </c>
      <c r="I7" s="33"/>
      <c r="J7" s="261" t="s">
        <v>129</v>
      </c>
      <c r="K7" s="150"/>
      <c r="L7" s="55"/>
      <c r="M7" s="240" t="s">
        <v>129</v>
      </c>
    </row>
    <row r="8" spans="1:13" ht="15" customHeight="1" x14ac:dyDescent="0.2">
      <c r="A8" s="25">
        <v>4</v>
      </c>
      <c r="B8" s="25" t="s">
        <v>3</v>
      </c>
      <c r="C8" s="178">
        <v>25721288.390000001</v>
      </c>
      <c r="D8" s="233">
        <v>27900926.940000001</v>
      </c>
      <c r="E8" s="33">
        <v>27501629.920000002</v>
      </c>
      <c r="F8" s="456">
        <f>E8/D8</f>
        <v>0.98568875432494862</v>
      </c>
      <c r="G8" s="33">
        <v>27501629.920000002</v>
      </c>
      <c r="H8" s="456">
        <f>G8/D8</f>
        <v>0.98568875432494862</v>
      </c>
      <c r="I8" s="33">
        <v>27497430.52</v>
      </c>
      <c r="J8" s="458">
        <f>I8/D8</f>
        <v>0.98553824319644623</v>
      </c>
      <c r="K8" s="150">
        <v>24780370.829999998</v>
      </c>
      <c r="L8" s="375">
        <f>+K8/25107372.16</f>
        <v>0.98697588389911362</v>
      </c>
      <c r="M8" s="529">
        <f>+I8/K8-1</f>
        <v>0.10964564286143097</v>
      </c>
    </row>
    <row r="9" spans="1:13" ht="15" customHeight="1" x14ac:dyDescent="0.2">
      <c r="A9" s="9"/>
      <c r="B9" s="2" t="s">
        <v>4</v>
      </c>
      <c r="C9" s="179">
        <f>SUM(C5:C8)</f>
        <v>49393185.259999998</v>
      </c>
      <c r="D9" s="169">
        <f t="shared" ref="D9:I9" si="0">SUM(D5:D8)</f>
        <v>53015099.240000002</v>
      </c>
      <c r="E9" s="92">
        <f t="shared" si="0"/>
        <v>52387708.390000001</v>
      </c>
      <c r="F9" s="98">
        <f>E9/D9</f>
        <v>0.98816580825097022</v>
      </c>
      <c r="G9" s="92">
        <f t="shared" si="0"/>
        <v>52178949.030000001</v>
      </c>
      <c r="H9" s="98">
        <f>G9/D9</f>
        <v>0.98422807422816017</v>
      </c>
      <c r="I9" s="92">
        <f t="shared" si="0"/>
        <v>48411775.879999995</v>
      </c>
      <c r="J9" s="188">
        <f>I9/D9</f>
        <v>0.91316957949732946</v>
      </c>
      <c r="K9" s="92">
        <f>SUM(K5:K8)</f>
        <v>29431892.889999997</v>
      </c>
      <c r="L9" s="44">
        <v>0.92390000000000005</v>
      </c>
      <c r="M9" s="242">
        <f>+I9/K9-1</f>
        <v>0.64487469633489813</v>
      </c>
    </row>
    <row r="10" spans="1:13" ht="15" customHeight="1" x14ac:dyDescent="0.2">
      <c r="A10" s="21">
        <v>6</v>
      </c>
      <c r="B10" s="21" t="s">
        <v>5</v>
      </c>
      <c r="C10" s="178">
        <v>0</v>
      </c>
      <c r="D10" s="233">
        <v>36203809.369999997</v>
      </c>
      <c r="E10" s="35">
        <v>18699936.710000001</v>
      </c>
      <c r="F10" s="49">
        <f>E10/D10</f>
        <v>0.5165184834249944</v>
      </c>
      <c r="G10" s="154">
        <v>18699936.710000001</v>
      </c>
      <c r="H10" s="49">
        <f>G10/D10</f>
        <v>0.5165184834249944</v>
      </c>
      <c r="I10" s="154">
        <v>13949108.109999999</v>
      </c>
      <c r="J10" s="170">
        <f>I10/D10</f>
        <v>0.38529393322788896</v>
      </c>
      <c r="K10" s="150"/>
      <c r="L10" s="55"/>
      <c r="M10" s="238" t="s">
        <v>129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53258</v>
      </c>
      <c r="E11" s="35">
        <v>0</v>
      </c>
      <c r="F11" s="49" t="s">
        <v>129</v>
      </c>
      <c r="G11" s="154">
        <v>0</v>
      </c>
      <c r="H11" s="50" t="s">
        <v>129</v>
      </c>
      <c r="I11" s="154">
        <v>0</v>
      </c>
      <c r="J11" s="170" t="s">
        <v>129</v>
      </c>
      <c r="K11" s="154"/>
      <c r="L11" s="56"/>
      <c r="M11" s="238" t="s">
        <v>129</v>
      </c>
    </row>
    <row r="12" spans="1:13" ht="15" customHeight="1" x14ac:dyDescent="0.2">
      <c r="A12" s="9"/>
      <c r="B12" s="2" t="s">
        <v>7</v>
      </c>
      <c r="C12" s="179">
        <f>SUM(C10:C11)</f>
        <v>0</v>
      </c>
      <c r="D12" s="169">
        <f t="shared" ref="D12:I12" si="1">SUM(D10:D11)</f>
        <v>36257067.369999997</v>
      </c>
      <c r="E12" s="92">
        <f t="shared" si="1"/>
        <v>18699936.710000001</v>
      </c>
      <c r="F12" s="98">
        <f>E12/D12</f>
        <v>0.51575976951386848</v>
      </c>
      <c r="G12" s="92">
        <f t="shared" si="1"/>
        <v>18699936.710000001</v>
      </c>
      <c r="H12" s="98">
        <f>G12/D12</f>
        <v>0.51575976951386848</v>
      </c>
      <c r="I12" s="92">
        <f t="shared" si="1"/>
        <v>13949108.109999999</v>
      </c>
      <c r="J12" s="188">
        <f>I12/D12</f>
        <v>0.38472797503589162</v>
      </c>
      <c r="K12" s="92">
        <f>SUM(K10:K11)</f>
        <v>0</v>
      </c>
      <c r="L12" s="44" t="s">
        <v>129</v>
      </c>
      <c r="M12" s="242" t="e">
        <f>+I12/K12-1</f>
        <v>#DIV/0!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129</v>
      </c>
      <c r="G13" s="31"/>
      <c r="H13" s="49" t="s">
        <v>129</v>
      </c>
      <c r="I13" s="31"/>
      <c r="J13" s="170" t="s">
        <v>129</v>
      </c>
      <c r="K13" s="31"/>
      <c r="L13" s="53" t="s">
        <v>129</v>
      </c>
      <c r="M13" s="238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56" t="s">
        <v>129</v>
      </c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129</v>
      </c>
      <c r="G15" s="108">
        <f t="shared" si="2"/>
        <v>0</v>
      </c>
      <c r="H15" s="98" t="s">
        <v>129</v>
      </c>
      <c r="I15" s="92">
        <f t="shared" si="2"/>
        <v>0</v>
      </c>
      <c r="J15" s="188" t="s">
        <v>129</v>
      </c>
      <c r="K15" s="92">
        <f>SUM(K13:K14)</f>
        <v>0</v>
      </c>
      <c r="L15" s="44" t="s">
        <v>129</v>
      </c>
      <c r="M15" s="262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49393185.259999998</v>
      </c>
      <c r="D16" s="171">
        <f t="shared" ref="D16:I16" si="3">+D9+D12+D15</f>
        <v>89272166.609999999</v>
      </c>
      <c r="E16" s="172">
        <f t="shared" si="3"/>
        <v>71087645.099999994</v>
      </c>
      <c r="F16" s="199">
        <f>E16/D16</f>
        <v>0.79630245125065635</v>
      </c>
      <c r="G16" s="172">
        <f t="shared" si="3"/>
        <v>70878885.74000001</v>
      </c>
      <c r="H16" s="199">
        <f>G16/D16</f>
        <v>0.79396399159489395</v>
      </c>
      <c r="I16" s="172">
        <f t="shared" si="3"/>
        <v>62360883.989999995</v>
      </c>
      <c r="J16" s="191">
        <f>I16/D16</f>
        <v>0.69854789413181462</v>
      </c>
      <c r="K16" s="164">
        <f>K9+K12+K15</f>
        <v>29431892.889999997</v>
      </c>
      <c r="L16" s="527">
        <v>0.92390000000000005</v>
      </c>
      <c r="M16" s="205">
        <f>+I16/K16-1</f>
        <v>1.1188200236753443</v>
      </c>
    </row>
    <row r="25" spans="12:15" x14ac:dyDescent="0.2">
      <c r="O25" s="576"/>
    </row>
    <row r="26" spans="12:15" x14ac:dyDescent="0.2">
      <c r="O26" s="576"/>
    </row>
    <row r="27" spans="12:15" x14ac:dyDescent="0.2">
      <c r="L27" s="575"/>
      <c r="O27" s="576"/>
    </row>
    <row r="28" spans="12:15" x14ac:dyDescent="0.2">
      <c r="L28" s="575"/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9"/>
  <sheetViews>
    <sheetView zoomScaleNormal="100" workbookViewId="0">
      <selection activeCell="G43" sqref="G43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2" spans="1:13" ht="15" x14ac:dyDescent="0.25">
      <c r="A2" s="7" t="s">
        <v>564</v>
      </c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  <row r="19" spans="4:13" x14ac:dyDescent="0.2">
      <c r="D19"/>
      <c r="E19"/>
      <c r="F19"/>
      <c r="G19"/>
      <c r="H19"/>
      <c r="I19"/>
      <c r="J19"/>
      <c r="K19"/>
      <c r="L19"/>
      <c r="M19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O22" sqref="O22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5" width="11.42578125" style="47"/>
    <col min="6" max="6" width="6.28515625" style="105" customWidth="1"/>
    <col min="7" max="7" width="11.42578125" style="47"/>
    <col min="8" max="8" width="6.28515625" style="105" customWidth="1"/>
    <col min="9" max="9" width="11.42578125" style="47"/>
    <col min="10" max="10" width="6.28515625" style="105" customWidth="1"/>
    <col min="11" max="11" width="11.42578125" style="47"/>
    <col min="12" max="12" width="6.28515625" style="105" customWidth="1"/>
    <col min="13" max="13" width="8.140625" style="105" bestFit="1" customWidth="1"/>
    <col min="14" max="14" width="5.5703125" customWidth="1"/>
  </cols>
  <sheetData>
    <row r="1" spans="1:16" ht="15.75" thickBot="1" x14ac:dyDescent="0.3">
      <c r="A1" s="7" t="s">
        <v>565</v>
      </c>
    </row>
    <row r="2" spans="1:16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6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6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6" ht="15" customHeight="1" x14ac:dyDescent="0.2">
      <c r="A5" s="21">
        <v>1</v>
      </c>
      <c r="B5" s="21" t="s">
        <v>0</v>
      </c>
      <c r="C5" s="178">
        <v>1244989.31</v>
      </c>
      <c r="D5" s="233">
        <v>1502783.26</v>
      </c>
      <c r="E5" s="33">
        <v>924324.92</v>
      </c>
      <c r="F5" s="49">
        <f>E5/D5</f>
        <v>0.61507533694512939</v>
      </c>
      <c r="G5" s="33">
        <v>923148.57</v>
      </c>
      <c r="H5" s="49">
        <f>G5/D5</f>
        <v>0.614292556066934</v>
      </c>
      <c r="I5" s="33">
        <v>923148.57</v>
      </c>
      <c r="J5" s="170">
        <f>I5/D5</f>
        <v>0.614292556066934</v>
      </c>
      <c r="K5" s="150">
        <v>1203408.28</v>
      </c>
      <c r="L5" s="53">
        <f>+K5/1359333.64</f>
        <v>0.88529279684419504</v>
      </c>
      <c r="M5" s="238">
        <f>+I5/K5-1</f>
        <v>-0.23288830121727278</v>
      </c>
    </row>
    <row r="6" spans="1:16" ht="15" customHeight="1" x14ac:dyDescent="0.2">
      <c r="A6" s="23">
        <v>2</v>
      </c>
      <c r="B6" s="23" t="s">
        <v>1</v>
      </c>
      <c r="C6" s="178">
        <v>3580110.18</v>
      </c>
      <c r="D6" s="233">
        <v>2561610.29</v>
      </c>
      <c r="E6" s="33">
        <v>2409298.5299999998</v>
      </c>
      <c r="F6" s="49">
        <f>E6/D6</f>
        <v>0.94054061986142312</v>
      </c>
      <c r="G6" s="33">
        <v>1525587.48</v>
      </c>
      <c r="H6" s="49">
        <f>G6/D6</f>
        <v>0.59555799176618707</v>
      </c>
      <c r="I6" s="33">
        <v>943338.55</v>
      </c>
      <c r="J6" s="170">
        <f>I6/D6</f>
        <v>0.36825997837477459</v>
      </c>
      <c r="K6" s="150">
        <v>939228.23</v>
      </c>
      <c r="L6" s="55">
        <f>+K6/4815011.7</f>
        <v>0.19506250213265316</v>
      </c>
      <c r="M6" s="238">
        <f>+I6/K6-1</f>
        <v>4.3762739116135485E-3</v>
      </c>
    </row>
    <row r="7" spans="1:16" ht="15" customHeight="1" x14ac:dyDescent="0.2">
      <c r="A7" s="23">
        <v>3</v>
      </c>
      <c r="B7" s="23" t="s">
        <v>2</v>
      </c>
      <c r="C7" s="178"/>
      <c r="D7" s="233"/>
      <c r="E7" s="33"/>
      <c r="F7" s="27" t="s">
        <v>129</v>
      </c>
      <c r="G7" s="33"/>
      <c r="H7" s="27" t="s">
        <v>129</v>
      </c>
      <c r="I7" s="33"/>
      <c r="J7" s="261" t="s">
        <v>129</v>
      </c>
      <c r="K7" s="150"/>
      <c r="L7" s="55"/>
      <c r="M7" s="240"/>
    </row>
    <row r="8" spans="1:16" ht="15" customHeight="1" x14ac:dyDescent="0.2">
      <c r="A8" s="25">
        <v>4</v>
      </c>
      <c r="B8" s="25" t="s">
        <v>3</v>
      </c>
      <c r="C8" s="178">
        <v>74904591.590000004</v>
      </c>
      <c r="D8" s="233">
        <v>68552466.310000002</v>
      </c>
      <c r="E8" s="33">
        <v>64439834.450000003</v>
      </c>
      <c r="F8" s="456">
        <f>E8/D8</f>
        <v>0.94000752881154803</v>
      </c>
      <c r="G8" s="33">
        <v>63580369.450000003</v>
      </c>
      <c r="H8" s="456">
        <f>G8/D8</f>
        <v>0.92747019724256508</v>
      </c>
      <c r="I8" s="33">
        <v>59900369.450000003</v>
      </c>
      <c r="J8" s="458">
        <f>I8/D8</f>
        <v>0.87378868586763181</v>
      </c>
      <c r="K8" s="150">
        <v>52695707.909999996</v>
      </c>
      <c r="L8" s="375">
        <f>+K8/62454278.06</f>
        <v>0.84374857170512929</v>
      </c>
      <c r="M8" s="529">
        <f>+I8/K8-1</f>
        <v>0.13672198032342564</v>
      </c>
    </row>
    <row r="9" spans="1:16" ht="15" customHeight="1" x14ac:dyDescent="0.2">
      <c r="A9" s="9"/>
      <c r="B9" s="2" t="s">
        <v>4</v>
      </c>
      <c r="C9" s="179">
        <f>SUM(C5:C8)</f>
        <v>79729691.079999998</v>
      </c>
      <c r="D9" s="169">
        <f t="shared" ref="D9:I9" si="0">SUM(D5:D8)</f>
        <v>72616859.859999999</v>
      </c>
      <c r="E9" s="92">
        <f t="shared" si="0"/>
        <v>67773457.900000006</v>
      </c>
      <c r="F9" s="98">
        <f>E9/D9</f>
        <v>0.93330196363024076</v>
      </c>
      <c r="G9" s="92">
        <f t="shared" si="0"/>
        <v>66029105.5</v>
      </c>
      <c r="H9" s="98">
        <f>G9/D9</f>
        <v>0.90928064952545862</v>
      </c>
      <c r="I9" s="92">
        <f t="shared" si="0"/>
        <v>61766856.57</v>
      </c>
      <c r="J9" s="188">
        <f>I9/D9</f>
        <v>0.85058561729441329</v>
      </c>
      <c r="K9" s="92">
        <f>SUM(K5:K8)</f>
        <v>54838344.419999994</v>
      </c>
      <c r="L9" s="44">
        <f>+K9/68628623.4</f>
        <v>0.79905936769817232</v>
      </c>
      <c r="M9" s="242">
        <f>+I9/K9-1</f>
        <v>0.12634429837880234</v>
      </c>
    </row>
    <row r="10" spans="1:16" ht="15" customHeight="1" x14ac:dyDescent="0.2">
      <c r="A10" s="21">
        <v>6</v>
      </c>
      <c r="B10" s="21" t="s">
        <v>5</v>
      </c>
      <c r="C10" s="178">
        <v>35600</v>
      </c>
      <c r="D10" s="233">
        <v>35600</v>
      </c>
      <c r="E10" s="35">
        <v>30000</v>
      </c>
      <c r="F10" s="49">
        <f>E10/D10</f>
        <v>0.84269662921348309</v>
      </c>
      <c r="G10" s="154">
        <v>6055.43</v>
      </c>
      <c r="H10" s="49">
        <f>G10/D10</f>
        <v>0.17009634831460674</v>
      </c>
      <c r="I10" s="154">
        <v>6055.43</v>
      </c>
      <c r="J10" s="170">
        <f>I10/D10</f>
        <v>0.17009634831460674</v>
      </c>
      <c r="K10" s="150">
        <v>423623.75</v>
      </c>
      <c r="L10" s="55">
        <f>+K10/1450000</f>
        <v>0.29215431034482758</v>
      </c>
      <c r="M10" s="238">
        <f>+I10/K10-1</f>
        <v>-0.98570564091366453</v>
      </c>
    </row>
    <row r="11" spans="1:16" ht="15" customHeight="1" x14ac:dyDescent="0.2">
      <c r="A11" s="25">
        <v>7</v>
      </c>
      <c r="B11" s="25" t="s">
        <v>6</v>
      </c>
      <c r="C11" s="178"/>
      <c r="D11" s="234"/>
      <c r="E11" s="35"/>
      <c r="F11" s="50" t="s">
        <v>129</v>
      </c>
      <c r="G11" s="154">
        <v>0</v>
      </c>
      <c r="H11" s="50" t="s">
        <v>129</v>
      </c>
      <c r="I11" s="154">
        <v>0</v>
      </c>
      <c r="J11" s="170" t="s">
        <v>129</v>
      </c>
      <c r="K11" s="154"/>
      <c r="L11" s="56"/>
      <c r="M11" s="238"/>
    </row>
    <row r="12" spans="1:16" ht="15" customHeight="1" x14ac:dyDescent="0.2">
      <c r="A12" s="9"/>
      <c r="B12" s="2" t="s">
        <v>7</v>
      </c>
      <c r="C12" s="179">
        <f>SUM(C10:C11)</f>
        <v>35600</v>
      </c>
      <c r="D12" s="169">
        <f t="shared" ref="D12:I12" si="1">SUM(D10:D11)</f>
        <v>35600</v>
      </c>
      <c r="E12" s="92">
        <f t="shared" si="1"/>
        <v>30000</v>
      </c>
      <c r="F12" s="98">
        <f>E12/D12</f>
        <v>0.84269662921348309</v>
      </c>
      <c r="G12" s="92">
        <f t="shared" si="1"/>
        <v>6055.43</v>
      </c>
      <c r="H12" s="98">
        <f>G12/D12</f>
        <v>0.17009634831460674</v>
      </c>
      <c r="I12" s="92">
        <f t="shared" si="1"/>
        <v>6055.43</v>
      </c>
      <c r="J12" s="188">
        <f>I12/D12</f>
        <v>0.17009634831460674</v>
      </c>
      <c r="K12" s="92">
        <f>SUM(K10:K11)</f>
        <v>423623.75</v>
      </c>
      <c r="L12" s="44">
        <v>0.29199999999999998</v>
      </c>
      <c r="M12" s="242">
        <f>+I12/K12-1</f>
        <v>-0.98570564091366453</v>
      </c>
      <c r="P12" s="577"/>
    </row>
    <row r="13" spans="1:16" ht="15" customHeight="1" x14ac:dyDescent="0.2">
      <c r="A13" s="21">
        <v>8</v>
      </c>
      <c r="B13" s="21" t="s">
        <v>8</v>
      </c>
      <c r="C13" s="176"/>
      <c r="D13" s="232"/>
      <c r="E13" s="31"/>
      <c r="F13" s="49" t="s">
        <v>129</v>
      </c>
      <c r="G13" s="31"/>
      <c r="H13" s="49" t="s">
        <v>129</v>
      </c>
      <c r="I13" s="31"/>
      <c r="J13" s="170" t="s">
        <v>129</v>
      </c>
      <c r="K13" s="31"/>
      <c r="L13" s="53" t="s">
        <v>129</v>
      </c>
      <c r="M13" s="238" t="s">
        <v>129</v>
      </c>
      <c r="P13" s="577"/>
    </row>
    <row r="14" spans="1:16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56" t="s">
        <v>129</v>
      </c>
      <c r="M14" s="244" t="s">
        <v>129</v>
      </c>
      <c r="P14" s="577"/>
    </row>
    <row r="15" spans="1:16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383">
        <f>E13+E14</f>
        <v>0</v>
      </c>
      <c r="F15" s="98" t="s">
        <v>129</v>
      </c>
      <c r="G15" s="108">
        <f t="shared" si="2"/>
        <v>0</v>
      </c>
      <c r="H15" s="98" t="s">
        <v>129</v>
      </c>
      <c r="I15" s="92">
        <f t="shared" si="2"/>
        <v>0</v>
      </c>
      <c r="J15" s="188" t="s">
        <v>129</v>
      </c>
      <c r="K15" s="92">
        <f>SUM(K13:K14)</f>
        <v>0</v>
      </c>
      <c r="L15" s="44" t="s">
        <v>129</v>
      </c>
      <c r="M15" s="262" t="s">
        <v>129</v>
      </c>
    </row>
    <row r="16" spans="1:16" s="6" customFormat="1" ht="19.5" customHeight="1" thickBot="1" x14ac:dyDescent="0.25">
      <c r="A16" s="5"/>
      <c r="B16" s="4" t="s">
        <v>11</v>
      </c>
      <c r="C16" s="180">
        <f>+C9+C12+C15</f>
        <v>79765291.079999998</v>
      </c>
      <c r="D16" s="171">
        <f t="shared" ref="D16:I16" si="3">+D9+D12+D15</f>
        <v>72652459.859999999</v>
      </c>
      <c r="E16" s="172">
        <f t="shared" si="3"/>
        <v>67803457.900000006</v>
      </c>
      <c r="F16" s="199">
        <f>E16/D16</f>
        <v>0.93325756664889348</v>
      </c>
      <c r="G16" s="172">
        <f t="shared" si="3"/>
        <v>66035160.93</v>
      </c>
      <c r="H16" s="199">
        <f>G16/D16</f>
        <v>0.9089184462198332</v>
      </c>
      <c r="I16" s="172">
        <f t="shared" si="3"/>
        <v>61772912</v>
      </c>
      <c r="J16" s="191">
        <f>I16/D16</f>
        <v>0.85025217479264026</v>
      </c>
      <c r="K16" s="164">
        <f>K9+K12+K15</f>
        <v>55261968.169999994</v>
      </c>
      <c r="L16" s="527">
        <f>+K16/70078623.4</f>
        <v>0.78857097198630177</v>
      </c>
      <c r="M16" s="205">
        <f>+I16/K16-1</f>
        <v>0.1178196152907669</v>
      </c>
      <c r="P16" s="574"/>
    </row>
  </sheetData>
  <mergeCells count="2">
    <mergeCell ref="D2:J2"/>
    <mergeCell ref="K2:L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P20" sqref="P20"/>
    </sheetView>
  </sheetViews>
  <sheetFormatPr defaultRowHeight="12.75" x14ac:dyDescent="0.2"/>
  <sheetData>
    <row r="2" spans="1:1" ht="15" x14ac:dyDescent="0.25">
      <c r="A2" s="7" t="s">
        <v>565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17"/>
  <sheetViews>
    <sheetView topLeftCell="B1" zoomScaleNormal="100" workbookViewId="0">
      <selection activeCell="I37" sqref="I3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.75" thickBot="1" x14ac:dyDescent="0.3">
      <c r="A1" s="7" t="s">
        <v>127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6">
        <v>10444917.35</v>
      </c>
      <c r="D5" s="232">
        <v>8931456.4100000001</v>
      </c>
      <c r="E5" s="31">
        <v>2469286.16</v>
      </c>
      <c r="F5" s="49">
        <f>E5/D5</f>
        <v>0.2764707172768926</v>
      </c>
      <c r="G5" s="31">
        <v>2469286.16</v>
      </c>
      <c r="H5" s="49">
        <f>G5/D5</f>
        <v>0.2764707172768926</v>
      </c>
      <c r="I5" s="31">
        <v>2469286.16</v>
      </c>
      <c r="J5" s="170">
        <f>I5/D5</f>
        <v>0.2764707172768926</v>
      </c>
      <c r="K5" s="31">
        <v>3097662.26</v>
      </c>
      <c r="L5" s="53">
        <v>0.58301850775343034</v>
      </c>
      <c r="M5" s="238">
        <f>+I5/K5-1</f>
        <v>-0.20285494261727544</v>
      </c>
    </row>
    <row r="6" spans="1:13" ht="15" customHeight="1" x14ac:dyDescent="0.2">
      <c r="A6" s="23">
        <v>2</v>
      </c>
      <c r="B6" s="23" t="s">
        <v>1</v>
      </c>
      <c r="C6" s="176">
        <v>4077215.92</v>
      </c>
      <c r="D6" s="232">
        <v>6634240.5599999996</v>
      </c>
      <c r="E6" s="31">
        <v>5549086.6600000001</v>
      </c>
      <c r="F6" s="49">
        <f t="shared" ref="F6:F17" si="0">E6/D6</f>
        <v>0.83643133073245091</v>
      </c>
      <c r="G6" s="31">
        <v>5549086.6600000001</v>
      </c>
      <c r="H6" s="321">
        <f t="shared" ref="H6:H17" si="1">G6/D6</f>
        <v>0.83643133073245091</v>
      </c>
      <c r="I6" s="31">
        <v>5335951.3899999997</v>
      </c>
      <c r="J6" s="196">
        <f t="shared" ref="J6:J17" si="2">I6/D6</f>
        <v>0.80430477938532874</v>
      </c>
      <c r="K6" s="33">
        <v>16544112.189999999</v>
      </c>
      <c r="L6" s="375">
        <v>0.76086605465994595</v>
      </c>
      <c r="M6" s="238">
        <f>+I6/K6-1</f>
        <v>-0.67747127626314774</v>
      </c>
    </row>
    <row r="7" spans="1:13" ht="15" customHeight="1" x14ac:dyDescent="0.2">
      <c r="A7" s="23">
        <v>3</v>
      </c>
      <c r="B7" s="23" t="s">
        <v>2</v>
      </c>
      <c r="C7" s="176">
        <v>34707752.200000003</v>
      </c>
      <c r="D7" s="232">
        <v>24898176.73</v>
      </c>
      <c r="E7" s="31">
        <v>23363547.23</v>
      </c>
      <c r="F7" s="49">
        <f t="shared" si="0"/>
        <v>0.93836377994092579</v>
      </c>
      <c r="G7" s="31">
        <v>23363547.23</v>
      </c>
      <c r="H7" s="321">
        <f t="shared" si="1"/>
        <v>0.93836377994092579</v>
      </c>
      <c r="I7" s="31">
        <v>23363547.23</v>
      </c>
      <c r="J7" s="196">
        <f t="shared" si="2"/>
        <v>0.93836377994092579</v>
      </c>
      <c r="K7" s="33">
        <v>29625689.170000002</v>
      </c>
      <c r="L7" s="53">
        <v>0.75413463046502349</v>
      </c>
      <c r="M7" s="240">
        <f t="shared" ref="M7:M17" si="3">+I7/K7-1</f>
        <v>-0.21137540139796185</v>
      </c>
    </row>
    <row r="8" spans="1:13" ht="15" customHeight="1" x14ac:dyDescent="0.2">
      <c r="A8" s="25">
        <v>4</v>
      </c>
      <c r="B8" s="25" t="s">
        <v>3</v>
      </c>
      <c r="C8" s="176">
        <v>280876027.86000001</v>
      </c>
      <c r="D8" s="232">
        <v>277276420.42000002</v>
      </c>
      <c r="E8" s="31">
        <v>208369695.93000001</v>
      </c>
      <c r="F8" s="49">
        <f t="shared" si="0"/>
        <v>0.75148725453962273</v>
      </c>
      <c r="G8" s="31">
        <v>208369695.93000001</v>
      </c>
      <c r="H8" s="49">
        <f t="shared" si="1"/>
        <v>0.75148725453962273</v>
      </c>
      <c r="I8" s="31">
        <v>205052877.53</v>
      </c>
      <c r="J8" s="196">
        <f t="shared" si="2"/>
        <v>0.73952511800101661</v>
      </c>
      <c r="K8" s="475">
        <v>184499951.75</v>
      </c>
      <c r="L8" s="53">
        <v>0.73915151093009146</v>
      </c>
      <c r="M8" s="529">
        <f t="shared" si="3"/>
        <v>0.11139800083985651</v>
      </c>
    </row>
    <row r="9" spans="1:13" ht="15" customHeight="1" x14ac:dyDescent="0.2">
      <c r="A9" s="59">
        <v>5</v>
      </c>
      <c r="B9" s="59" t="s">
        <v>464</v>
      </c>
      <c r="C9" s="176">
        <v>3627500</v>
      </c>
      <c r="D9" s="232">
        <v>107259</v>
      </c>
      <c r="E9" s="31">
        <v>0</v>
      </c>
      <c r="F9" s="86" t="s">
        <v>129</v>
      </c>
      <c r="G9" s="31">
        <v>0</v>
      </c>
      <c r="H9" s="86" t="s">
        <v>129</v>
      </c>
      <c r="I9" s="31">
        <v>0</v>
      </c>
      <c r="J9" s="190" t="s">
        <v>129</v>
      </c>
      <c r="K9" s="60">
        <v>0</v>
      </c>
      <c r="L9" s="61">
        <v>0</v>
      </c>
      <c r="M9" s="283" t="s">
        <v>129</v>
      </c>
    </row>
    <row r="10" spans="1:13" ht="15" customHeight="1" x14ac:dyDescent="0.2">
      <c r="A10" s="9"/>
      <c r="B10" s="2" t="s">
        <v>4</v>
      </c>
      <c r="C10" s="179">
        <f>SUM(C5:C9)</f>
        <v>333733413.33000004</v>
      </c>
      <c r="D10" s="169">
        <f t="shared" ref="D10:E10" si="4">SUM(D5:D9)</f>
        <v>317847553.12</v>
      </c>
      <c r="E10" s="92">
        <f t="shared" si="4"/>
        <v>239751615.98000002</v>
      </c>
      <c r="F10" s="98">
        <f t="shared" si="0"/>
        <v>0.75429750402855644</v>
      </c>
      <c r="G10" s="92">
        <f>SUM(G5:G9)</f>
        <v>239751615.98000002</v>
      </c>
      <c r="H10" s="98">
        <f t="shared" si="1"/>
        <v>0.75429750402855644</v>
      </c>
      <c r="I10" s="92">
        <f>SUM(I5:I9)</f>
        <v>236221662.31</v>
      </c>
      <c r="J10" s="188">
        <f t="shared" si="2"/>
        <v>0.74319169674657526</v>
      </c>
      <c r="K10" s="92">
        <f>SUM(K5:K9)</f>
        <v>233767415.37</v>
      </c>
      <c r="L10" s="44">
        <v>0.73899999999999999</v>
      </c>
      <c r="M10" s="161">
        <f t="shared" si="3"/>
        <v>1.0498669954131401E-2</v>
      </c>
    </row>
    <row r="11" spans="1:13" ht="15" customHeight="1" x14ac:dyDescent="0.2">
      <c r="A11" s="21">
        <v>6</v>
      </c>
      <c r="B11" s="21" t="s">
        <v>5</v>
      </c>
      <c r="C11" s="176">
        <v>315702537.30000001</v>
      </c>
      <c r="D11" s="232">
        <v>310776186.82999998</v>
      </c>
      <c r="E11" s="31">
        <v>265916935</v>
      </c>
      <c r="F11" s="49">
        <f t="shared" si="0"/>
        <v>0.85565415327481709</v>
      </c>
      <c r="G11" s="31">
        <v>265916935</v>
      </c>
      <c r="H11" s="49">
        <f t="shared" si="1"/>
        <v>0.85565415327481709</v>
      </c>
      <c r="I11" s="31">
        <v>238457641.72</v>
      </c>
      <c r="J11" s="170">
        <f t="shared" si="2"/>
        <v>0.76729701896510016</v>
      </c>
      <c r="K11" s="153">
        <v>229035026.47</v>
      </c>
      <c r="L11" s="53">
        <v>0.65128406461054389</v>
      </c>
      <c r="M11" s="240">
        <f t="shared" si="3"/>
        <v>4.1140498880131826E-2</v>
      </c>
    </row>
    <row r="12" spans="1:13" ht="15" customHeight="1" x14ac:dyDescent="0.2">
      <c r="A12" s="25">
        <v>7</v>
      </c>
      <c r="B12" s="25" t="s">
        <v>6</v>
      </c>
      <c r="C12" s="176">
        <v>9655572.5500000007</v>
      </c>
      <c r="D12" s="232">
        <v>17613163.280000001</v>
      </c>
      <c r="E12" s="31">
        <v>15256200.92</v>
      </c>
      <c r="F12" s="456">
        <f t="shared" si="0"/>
        <v>0.86618176857098883</v>
      </c>
      <c r="G12" s="31">
        <v>15256200.92</v>
      </c>
      <c r="H12" s="456">
        <f t="shared" si="1"/>
        <v>0.86618176857098883</v>
      </c>
      <c r="I12" s="31">
        <v>14081332.33</v>
      </c>
      <c r="J12" s="458">
        <f t="shared" si="2"/>
        <v>0.79947776024932182</v>
      </c>
      <c r="K12" s="154">
        <v>24609032.670000002</v>
      </c>
      <c r="L12" s="375">
        <v>0.22244739975512015</v>
      </c>
      <c r="M12" s="240">
        <f t="shared" si="3"/>
        <v>-0.42779821869365664</v>
      </c>
    </row>
    <row r="13" spans="1:13" ht="15" customHeight="1" x14ac:dyDescent="0.2">
      <c r="A13" s="9"/>
      <c r="B13" s="2" t="s">
        <v>7</v>
      </c>
      <c r="C13" s="179">
        <f>SUM(C11:C12)</f>
        <v>325358109.85000002</v>
      </c>
      <c r="D13" s="169">
        <f t="shared" ref="D13:I13" si="5">SUM(D11:D12)</f>
        <v>328389350.11000001</v>
      </c>
      <c r="E13" s="92">
        <f t="shared" si="5"/>
        <v>281173135.92000002</v>
      </c>
      <c r="F13" s="98">
        <f t="shared" si="0"/>
        <v>0.85621880193683486</v>
      </c>
      <c r="G13" s="92">
        <f t="shared" si="5"/>
        <v>281173135.92000002</v>
      </c>
      <c r="H13" s="98">
        <f t="shared" si="1"/>
        <v>0.85621880193683486</v>
      </c>
      <c r="I13" s="92">
        <f t="shared" si="5"/>
        <v>252538974.05000001</v>
      </c>
      <c r="J13" s="188">
        <f t="shared" si="2"/>
        <v>0.76902303307158859</v>
      </c>
      <c r="K13" s="92">
        <f>SUM(K11:K12)</f>
        <v>253644059.13999999</v>
      </c>
      <c r="L13" s="44">
        <v>0.54900000000000004</v>
      </c>
      <c r="M13" s="161">
        <f t="shared" si="3"/>
        <v>-4.3568341152828705E-3</v>
      </c>
    </row>
    <row r="14" spans="1:13" ht="15" customHeight="1" x14ac:dyDescent="0.2">
      <c r="A14" s="21">
        <v>8</v>
      </c>
      <c r="B14" s="21" t="s">
        <v>8</v>
      </c>
      <c r="C14" s="176">
        <v>21421544.140000001</v>
      </c>
      <c r="D14" s="232">
        <v>21421544.140000001</v>
      </c>
      <c r="E14" s="31">
        <v>16312694.66</v>
      </c>
      <c r="F14" s="49">
        <f t="shared" si="0"/>
        <v>0.76150881343514576</v>
      </c>
      <c r="G14" s="31">
        <v>16312694.66</v>
      </c>
      <c r="H14" s="49">
        <f t="shared" si="1"/>
        <v>0.76150881343514576</v>
      </c>
      <c r="I14" s="31">
        <v>16312694.66</v>
      </c>
      <c r="J14" s="170">
        <f t="shared" si="2"/>
        <v>0.76150881343514576</v>
      </c>
      <c r="K14" s="153">
        <v>14882444.140000001</v>
      </c>
      <c r="L14" s="53">
        <v>0.39946599791580101</v>
      </c>
      <c r="M14" s="254">
        <f t="shared" si="3"/>
        <v>9.6103200962526891E-2</v>
      </c>
    </row>
    <row r="15" spans="1:13" ht="15" customHeight="1" x14ac:dyDescent="0.2">
      <c r="A15" s="25">
        <v>9</v>
      </c>
      <c r="B15" s="25" t="s">
        <v>9</v>
      </c>
      <c r="C15" s="176">
        <v>159183736.81</v>
      </c>
      <c r="D15" s="232">
        <v>159183736.81</v>
      </c>
      <c r="E15" s="31">
        <v>158376821.96000001</v>
      </c>
      <c r="F15" s="456">
        <f t="shared" si="0"/>
        <v>0.99493092154908314</v>
      </c>
      <c r="G15" s="31">
        <v>158376821.96000001</v>
      </c>
      <c r="H15" s="456">
        <f t="shared" si="1"/>
        <v>0.99493092154908314</v>
      </c>
      <c r="I15" s="31">
        <v>158376821.96000001</v>
      </c>
      <c r="J15" s="458">
        <f t="shared" si="2"/>
        <v>0.99493092154908314</v>
      </c>
      <c r="K15" s="154">
        <v>130634455.12</v>
      </c>
      <c r="L15" s="375">
        <v>0.99344633952342531</v>
      </c>
      <c r="M15" s="160">
        <f t="shared" si="3"/>
        <v>0.21236638384962103</v>
      </c>
    </row>
    <row r="16" spans="1:13" ht="15" customHeight="1" thickBot="1" x14ac:dyDescent="0.25">
      <c r="A16" s="9"/>
      <c r="B16" s="2" t="s">
        <v>10</v>
      </c>
      <c r="C16" s="179">
        <f>SUM(C14:C15)</f>
        <v>180605280.94999999</v>
      </c>
      <c r="D16" s="169">
        <f t="shared" ref="D16:I16" si="6">SUM(D14:D15)</f>
        <v>180605280.94999999</v>
      </c>
      <c r="E16" s="92">
        <f t="shared" si="6"/>
        <v>174689516.62</v>
      </c>
      <c r="F16" s="98">
        <f t="shared" si="0"/>
        <v>0.96724478764473254</v>
      </c>
      <c r="G16" s="92">
        <f t="shared" si="6"/>
        <v>174689516.62</v>
      </c>
      <c r="H16" s="98">
        <f t="shared" si="1"/>
        <v>0.96724478764473254</v>
      </c>
      <c r="I16" s="92">
        <f t="shared" si="6"/>
        <v>174689516.62</v>
      </c>
      <c r="J16" s="188">
        <f t="shared" si="2"/>
        <v>0.96724478764473254</v>
      </c>
      <c r="K16" s="92">
        <f>SUM(K14:K15)</f>
        <v>145516899.25999999</v>
      </c>
      <c r="L16" s="44">
        <v>0.86199999999999999</v>
      </c>
      <c r="M16" s="262">
        <f t="shared" si="3"/>
        <v>0.20047580389873687</v>
      </c>
    </row>
    <row r="17" spans="1:13" s="6" customFormat="1" ht="19.5" customHeight="1" thickBot="1" x14ac:dyDescent="0.25">
      <c r="A17" s="5"/>
      <c r="B17" s="4" t="s">
        <v>11</v>
      </c>
      <c r="C17" s="180">
        <f>+C10+C13+C16</f>
        <v>839696804.13000011</v>
      </c>
      <c r="D17" s="171">
        <f t="shared" ref="D17:I17" si="7">+D10+D13+D16</f>
        <v>826842184.18000007</v>
      </c>
      <c r="E17" s="172">
        <f t="shared" si="7"/>
        <v>695614268.51999998</v>
      </c>
      <c r="F17" s="199">
        <f t="shared" si="0"/>
        <v>0.8412902508232063</v>
      </c>
      <c r="G17" s="172">
        <f t="shared" si="7"/>
        <v>695614268.51999998</v>
      </c>
      <c r="H17" s="199">
        <f t="shared" si="1"/>
        <v>0.8412902508232063</v>
      </c>
      <c r="I17" s="172">
        <f t="shared" si="7"/>
        <v>663450152.98000002</v>
      </c>
      <c r="J17" s="191">
        <f t="shared" si="2"/>
        <v>0.8023903057606574</v>
      </c>
      <c r="K17" s="164">
        <f>K10+K13+K16</f>
        <v>632928373.76999998</v>
      </c>
      <c r="L17" s="208">
        <v>0.66800000000000004</v>
      </c>
      <c r="M17" s="205">
        <f t="shared" si="3"/>
        <v>4.8223117298721974E-2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2.28515625" style="47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42578125" style="105" bestFit="1" customWidth="1"/>
  </cols>
  <sheetData>
    <row r="1" spans="1:13" ht="15" x14ac:dyDescent="0.25">
      <c r="A1" s="7" t="s">
        <v>127</v>
      </c>
    </row>
    <row r="2" spans="1:13" ht="15" x14ac:dyDescent="0.25">
      <c r="A2" s="7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">
      <c r="D17"/>
      <c r="E17"/>
      <c r="F17"/>
      <c r="G17"/>
      <c r="H17"/>
      <c r="I17"/>
      <c r="J17"/>
      <c r="K17"/>
      <c r="L17"/>
      <c r="M17"/>
    </row>
    <row r="18" spans="4:13" x14ac:dyDescent="0.2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M21"/>
  <sheetViews>
    <sheetView zoomScaleNormal="100" workbookViewId="0">
      <selection activeCell="I24" sqref="I24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.75" thickBot="1" x14ac:dyDescent="0.3">
      <c r="A1" s="7" t="s">
        <v>566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6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2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6">
        <v>348042.97</v>
      </c>
      <c r="D5" s="232">
        <v>4977296.83</v>
      </c>
      <c r="E5" s="35">
        <v>4975598.8499999996</v>
      </c>
      <c r="F5" s="49">
        <f>E5/D5</f>
        <v>0.99965885498534746</v>
      </c>
      <c r="G5" s="35">
        <v>4975598.8499999996</v>
      </c>
      <c r="H5" s="49">
        <f>G5/D5</f>
        <v>0.99965885498534746</v>
      </c>
      <c r="I5" s="35">
        <v>4975598.8499999996</v>
      </c>
      <c r="J5" s="170">
        <f>I5/D5</f>
        <v>0.99965885498534746</v>
      </c>
      <c r="K5" s="31">
        <v>331111.83</v>
      </c>
      <c r="L5" s="53">
        <v>0.87755532475900622</v>
      </c>
      <c r="M5" s="238">
        <f>+I5/K5-1</f>
        <v>14.026943767004639</v>
      </c>
    </row>
    <row r="6" spans="1:13" ht="15" customHeight="1" x14ac:dyDescent="0.2">
      <c r="A6" s="23">
        <v>2</v>
      </c>
      <c r="B6" s="23" t="s">
        <v>1</v>
      </c>
      <c r="C6" s="176">
        <v>50</v>
      </c>
      <c r="D6" s="232">
        <v>50</v>
      </c>
      <c r="E6" s="35">
        <v>0</v>
      </c>
      <c r="F6" s="49" t="s">
        <v>129</v>
      </c>
      <c r="G6" s="35">
        <v>0</v>
      </c>
      <c r="H6" s="49" t="s">
        <v>129</v>
      </c>
      <c r="I6" s="35">
        <v>0</v>
      </c>
      <c r="J6" s="170" t="s">
        <v>129</v>
      </c>
      <c r="K6" s="379"/>
      <c r="L6" s="55" t="s">
        <v>129</v>
      </c>
      <c r="M6" s="238" t="s">
        <v>129</v>
      </c>
    </row>
    <row r="7" spans="1:13" ht="15" customHeight="1" x14ac:dyDescent="0.2">
      <c r="A7" s="23">
        <v>3</v>
      </c>
      <c r="B7" s="23" t="s">
        <v>2</v>
      </c>
      <c r="C7" s="176"/>
      <c r="D7" s="232"/>
      <c r="E7" s="35"/>
      <c r="F7" s="27" t="s">
        <v>129</v>
      </c>
      <c r="G7" s="35"/>
      <c r="H7" s="27" t="s">
        <v>129</v>
      </c>
      <c r="I7" s="35"/>
      <c r="J7" s="261" t="s">
        <v>129</v>
      </c>
      <c r="K7" s="379"/>
      <c r="L7" s="55" t="s">
        <v>129</v>
      </c>
      <c r="M7" s="238" t="s">
        <v>129</v>
      </c>
    </row>
    <row r="8" spans="1:13" ht="15" customHeight="1" x14ac:dyDescent="0.2">
      <c r="A8" s="25">
        <v>4</v>
      </c>
      <c r="B8" s="25" t="s">
        <v>3</v>
      </c>
      <c r="C8" s="176">
        <v>209552292.66</v>
      </c>
      <c r="D8" s="232">
        <v>216741822.27000001</v>
      </c>
      <c r="E8" s="35">
        <v>214337825.53</v>
      </c>
      <c r="F8" s="456">
        <f>E8/D8</f>
        <v>0.98890847776943902</v>
      </c>
      <c r="G8" s="35">
        <v>214337825.53</v>
      </c>
      <c r="H8" s="456">
        <f>G8/D8</f>
        <v>0.98890847776943902</v>
      </c>
      <c r="I8" s="35">
        <v>213727161.09</v>
      </c>
      <c r="J8" s="458">
        <f>I8/D8</f>
        <v>0.98609100381077086</v>
      </c>
      <c r="K8" s="35">
        <v>202972653.87</v>
      </c>
      <c r="L8" s="375">
        <v>0.98023321746085046</v>
      </c>
      <c r="M8" s="529">
        <f>+I8/K8-1</f>
        <v>5.298500568893405E-2</v>
      </c>
    </row>
    <row r="9" spans="1:13" ht="15" customHeight="1" x14ac:dyDescent="0.2">
      <c r="A9" s="9"/>
      <c r="B9" s="2" t="s">
        <v>4</v>
      </c>
      <c r="C9" s="179">
        <f>SUM(C5:C8)</f>
        <v>209900385.63</v>
      </c>
      <c r="D9" s="169">
        <f>SUM(D5:D8)</f>
        <v>221719169.10000002</v>
      </c>
      <c r="E9" s="92">
        <f>SUM(E5:E8)</f>
        <v>219313424.38</v>
      </c>
      <c r="F9" s="98">
        <f>E9/D9</f>
        <v>0.98914958625469596</v>
      </c>
      <c r="G9" s="92">
        <f t="shared" ref="G9:I9" si="0">SUM(G5:G8)</f>
        <v>219313424.38</v>
      </c>
      <c r="H9" s="98">
        <f>G9/D9</f>
        <v>0.98914958625469596</v>
      </c>
      <c r="I9" s="92">
        <f t="shared" si="0"/>
        <v>218702759.94</v>
      </c>
      <c r="J9" s="188">
        <f>I9/D9</f>
        <v>0.98639536142840423</v>
      </c>
      <c r="K9" s="92">
        <f>SUM(K5:K8)</f>
        <v>203303765.70000002</v>
      </c>
      <c r="L9" s="44">
        <v>0.98</v>
      </c>
      <c r="M9" s="161">
        <f>+I9/K9-1</f>
        <v>7.574377280705713E-2</v>
      </c>
    </row>
    <row r="10" spans="1:13" ht="15" customHeight="1" x14ac:dyDescent="0.2">
      <c r="A10" s="21">
        <v>6</v>
      </c>
      <c r="B10" s="21" t="s">
        <v>5</v>
      </c>
      <c r="C10" s="176"/>
      <c r="D10" s="232"/>
      <c r="E10" s="31"/>
      <c r="F10" s="28" t="s">
        <v>129</v>
      </c>
      <c r="G10" s="153"/>
      <c r="H10" s="28" t="s">
        <v>129</v>
      </c>
      <c r="I10" s="153"/>
      <c r="J10" s="458" t="s">
        <v>129</v>
      </c>
      <c r="K10" s="379"/>
      <c r="L10" s="55" t="s">
        <v>129</v>
      </c>
      <c r="M10" s="158" t="s">
        <v>129</v>
      </c>
    </row>
    <row r="11" spans="1:13" ht="15" customHeight="1" x14ac:dyDescent="0.2">
      <c r="A11" s="25">
        <v>7</v>
      </c>
      <c r="B11" s="25" t="s">
        <v>6</v>
      </c>
      <c r="C11" s="176">
        <v>5240773</v>
      </c>
      <c r="D11" s="232">
        <v>5038543.68</v>
      </c>
      <c r="E11" s="31">
        <v>5038151.67</v>
      </c>
      <c r="F11" s="456">
        <f>E11/D11</f>
        <v>0.9999221977569519</v>
      </c>
      <c r="G11" s="31">
        <v>5038151.67</v>
      </c>
      <c r="H11" s="456">
        <f>G11/D11</f>
        <v>0.9999221977569519</v>
      </c>
      <c r="I11" s="154">
        <v>4843151.67</v>
      </c>
      <c r="J11" s="458">
        <f>I11/D11</f>
        <v>0.96122053862992418</v>
      </c>
      <c r="K11" s="154">
        <v>5208108.5999999996</v>
      </c>
      <c r="L11" s="375">
        <v>1</v>
      </c>
      <c r="M11" s="241">
        <f>+I11/K11-1</f>
        <v>-7.0074754201554068E-2</v>
      </c>
    </row>
    <row r="12" spans="1:13" ht="15" customHeight="1" x14ac:dyDescent="0.2">
      <c r="A12" s="9"/>
      <c r="B12" s="2" t="s">
        <v>7</v>
      </c>
      <c r="C12" s="179">
        <f>SUM(C10:C11)</f>
        <v>5240773</v>
      </c>
      <c r="D12" s="169">
        <f t="shared" ref="D12:I12" si="1">SUM(D10:D11)</f>
        <v>5038543.68</v>
      </c>
      <c r="E12" s="92">
        <f t="shared" si="1"/>
        <v>5038151.67</v>
      </c>
      <c r="F12" s="98">
        <f>E12/D12</f>
        <v>0.9999221977569519</v>
      </c>
      <c r="G12" s="92">
        <f t="shared" si="1"/>
        <v>5038151.67</v>
      </c>
      <c r="H12" s="98">
        <f>G12/D12</f>
        <v>0.9999221977569519</v>
      </c>
      <c r="I12" s="92">
        <f t="shared" si="1"/>
        <v>4843151.67</v>
      </c>
      <c r="J12" s="188">
        <f>I12/D12</f>
        <v>0.96122053862992418</v>
      </c>
      <c r="K12" s="92">
        <f>SUM(K10:K11)</f>
        <v>5208108.5999999996</v>
      </c>
      <c r="L12" s="44">
        <v>1</v>
      </c>
      <c r="M12" s="161">
        <f>+I12/K12-1</f>
        <v>-7.0074754201554068E-2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129</v>
      </c>
      <c r="G13" s="31"/>
      <c r="H13" s="28" t="s">
        <v>129</v>
      </c>
      <c r="I13" s="31"/>
      <c r="J13" s="256" t="s">
        <v>129</v>
      </c>
      <c r="K13" s="31"/>
      <c r="L13" s="57"/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56"/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2">SUM(D13:D14)</f>
        <v>0</v>
      </c>
      <c r="E15" s="92">
        <f t="shared" si="2"/>
        <v>0</v>
      </c>
      <c r="F15" s="258" t="s">
        <v>129</v>
      </c>
      <c r="G15" s="92">
        <f t="shared" si="2"/>
        <v>0</v>
      </c>
      <c r="H15" s="258" t="s">
        <v>129</v>
      </c>
      <c r="I15" s="92">
        <f t="shared" si="2"/>
        <v>0</v>
      </c>
      <c r="J15" s="259" t="s">
        <v>129</v>
      </c>
      <c r="K15" s="92">
        <f>SUM(K13:K14)</f>
        <v>0</v>
      </c>
      <c r="L15" s="107" t="s">
        <v>129</v>
      </c>
      <c r="M15" s="260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215141158.63</v>
      </c>
      <c r="D16" s="171">
        <f t="shared" ref="D16:I16" si="3">+D9+D12+D15</f>
        <v>226757712.78000003</v>
      </c>
      <c r="E16" s="172">
        <f t="shared" si="3"/>
        <v>224351576.04999998</v>
      </c>
      <c r="F16" s="199">
        <f>E16/D16</f>
        <v>0.98938895307903163</v>
      </c>
      <c r="G16" s="172">
        <f t="shared" si="3"/>
        <v>224351576.04999998</v>
      </c>
      <c r="H16" s="199">
        <f>G16/D16</f>
        <v>0.98938895307903163</v>
      </c>
      <c r="I16" s="172">
        <f t="shared" si="3"/>
        <v>223545911.60999998</v>
      </c>
      <c r="J16" s="191">
        <f>I16/D16</f>
        <v>0.98583597827556091</v>
      </c>
      <c r="K16" s="164">
        <f>K9+K12+K15</f>
        <v>208511874.30000001</v>
      </c>
      <c r="L16" s="208">
        <v>0.98099999999999998</v>
      </c>
      <c r="M16" s="205">
        <f>+I16/K16-1</f>
        <v>7.2101588269114503E-2</v>
      </c>
    </row>
    <row r="21" spans="10:10" x14ac:dyDescent="0.2">
      <c r="J21" s="105" t="s">
        <v>148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O15" sqref="O1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28515625" bestFit="1" customWidth="1"/>
    <col min="4" max="4" width="11.5703125" style="47" bestFit="1" customWidth="1"/>
    <col min="5" max="5" width="11" style="47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105" customWidth="1"/>
    <col min="13" max="13" width="8.28515625" style="105" bestFit="1" customWidth="1"/>
  </cols>
  <sheetData>
    <row r="1" spans="1:13" ht="15" x14ac:dyDescent="0.25">
      <c r="A1" s="7" t="s">
        <v>566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  <row r="16" spans="1:13" ht="15" customHeight="1" x14ac:dyDescent="0.2">
      <c r="D16"/>
      <c r="E16"/>
      <c r="F16"/>
      <c r="G16"/>
      <c r="H16"/>
      <c r="I16"/>
      <c r="J16"/>
      <c r="K16"/>
      <c r="L16"/>
      <c r="M16"/>
    </row>
    <row r="20" spans="1:13" s="47" customFormat="1" x14ac:dyDescent="0.2">
      <c r="A20"/>
      <c r="B20"/>
      <c r="C20"/>
      <c r="F20" s="105"/>
      <c r="H20" s="105"/>
      <c r="J20" s="105" t="s">
        <v>148</v>
      </c>
      <c r="L20" s="105"/>
      <c r="M20" s="10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M16"/>
  <sheetViews>
    <sheetView zoomScaleNormal="100" workbookViewId="0">
      <selection activeCell="N35" sqref="N35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8" bestFit="1" customWidth="1"/>
    <col min="13" max="13" width="9" style="105" bestFit="1" customWidth="1"/>
  </cols>
  <sheetData>
    <row r="1" spans="1:13" ht="15.75" thickBot="1" x14ac:dyDescent="0.3">
      <c r="A1" s="7" t="s">
        <v>128</v>
      </c>
    </row>
    <row r="2" spans="1:13" x14ac:dyDescent="0.2">
      <c r="A2" s="8" t="s">
        <v>20</v>
      </c>
      <c r="C2" s="181" t="s">
        <v>479</v>
      </c>
      <c r="D2" s="595" t="s">
        <v>551</v>
      </c>
      <c r="E2" s="593"/>
      <c r="F2" s="593"/>
      <c r="G2" s="593"/>
      <c r="H2" s="593"/>
      <c r="I2" s="593"/>
      <c r="J2" s="594"/>
      <c r="K2" s="589" t="s">
        <v>552</v>
      </c>
      <c r="L2" s="590"/>
      <c r="M2" s="224"/>
    </row>
    <row r="3" spans="1:13" x14ac:dyDescent="0.2">
      <c r="C3" s="174">
        <v>1</v>
      </c>
      <c r="D3" s="249">
        <v>2</v>
      </c>
      <c r="E3" s="247">
        <v>3</v>
      </c>
      <c r="F3" s="96" t="s">
        <v>36</v>
      </c>
      <c r="G3" s="247">
        <v>4</v>
      </c>
      <c r="H3" s="96" t="s">
        <v>37</v>
      </c>
      <c r="I3" s="247">
        <v>5</v>
      </c>
      <c r="J3" s="166" t="s">
        <v>38</v>
      </c>
      <c r="K3" s="247" t="s">
        <v>39</v>
      </c>
      <c r="L3" s="110" t="s">
        <v>40</v>
      </c>
      <c r="M3" s="156" t="s">
        <v>362</v>
      </c>
    </row>
    <row r="4" spans="1:13" ht="25.5" x14ac:dyDescent="0.2">
      <c r="A4" s="1"/>
      <c r="B4" s="2" t="s">
        <v>12</v>
      </c>
      <c r="C4" s="175" t="s">
        <v>13</v>
      </c>
      <c r="D4" s="250" t="s">
        <v>14</v>
      </c>
      <c r="E4" s="248" t="s">
        <v>15</v>
      </c>
      <c r="F4" s="97" t="s">
        <v>18</v>
      </c>
      <c r="G4" s="248" t="s">
        <v>16</v>
      </c>
      <c r="H4" s="97" t="s">
        <v>18</v>
      </c>
      <c r="I4" s="248" t="s">
        <v>17</v>
      </c>
      <c r="J4" s="128" t="s">
        <v>18</v>
      </c>
      <c r="K4" s="248" t="s">
        <v>17</v>
      </c>
      <c r="L4" s="111" t="s">
        <v>18</v>
      </c>
      <c r="M4" s="157" t="s">
        <v>516</v>
      </c>
    </row>
    <row r="5" spans="1:13" ht="15" customHeight="1" x14ac:dyDescent="0.2">
      <c r="A5" s="21">
        <v>1</v>
      </c>
      <c r="B5" s="21" t="s">
        <v>0</v>
      </c>
      <c r="C5" s="177">
        <v>40871849.880000003</v>
      </c>
      <c r="D5" s="233">
        <v>41514907.640000001</v>
      </c>
      <c r="E5" s="33">
        <v>37665686.079999998</v>
      </c>
      <c r="F5" s="49">
        <f>E5/D5</f>
        <v>0.90728097980178957</v>
      </c>
      <c r="G5" s="33">
        <v>37665686.079999998</v>
      </c>
      <c r="H5" s="49">
        <f>G5/D5</f>
        <v>0.90728097980178957</v>
      </c>
      <c r="I5" s="33">
        <v>37665686.079999998</v>
      </c>
      <c r="J5" s="170">
        <f>I5/D5</f>
        <v>0.90728097980178957</v>
      </c>
      <c r="K5" s="31">
        <v>37307471.719999999</v>
      </c>
      <c r="L5" s="53">
        <v>0.89391263862349823</v>
      </c>
      <c r="M5" s="238">
        <f>+I5/K5-1</f>
        <v>9.6016787920787383E-3</v>
      </c>
    </row>
    <row r="6" spans="1:13" ht="15" customHeight="1" x14ac:dyDescent="0.2">
      <c r="A6" s="23">
        <v>2</v>
      </c>
      <c r="B6" s="23" t="s">
        <v>1</v>
      </c>
      <c r="C6" s="177">
        <v>165307406.81</v>
      </c>
      <c r="D6" s="233">
        <v>170549708.84999999</v>
      </c>
      <c r="E6" s="33">
        <v>165975262.78999999</v>
      </c>
      <c r="F6" s="49">
        <f>E6/D6</f>
        <v>0.97317822416206368</v>
      </c>
      <c r="G6" s="33">
        <v>162890160.50999999</v>
      </c>
      <c r="H6" s="49">
        <f>G6/D6</f>
        <v>0.95508905648888176</v>
      </c>
      <c r="I6" s="33">
        <v>122211284.67</v>
      </c>
      <c r="J6" s="170">
        <f>I6/D6</f>
        <v>0.71657281325226962</v>
      </c>
      <c r="K6" s="33">
        <v>119583727.19</v>
      </c>
      <c r="L6" s="55">
        <v>0.73312014531704472</v>
      </c>
      <c r="M6" s="238">
        <f>+I6/K6-1</f>
        <v>2.1972533736343669E-2</v>
      </c>
    </row>
    <row r="7" spans="1:13" ht="15" customHeight="1" x14ac:dyDescent="0.2">
      <c r="A7" s="23">
        <v>3</v>
      </c>
      <c r="B7" s="23" t="s">
        <v>2</v>
      </c>
      <c r="C7" s="177"/>
      <c r="D7" s="233"/>
      <c r="E7" s="33"/>
      <c r="F7" s="27" t="s">
        <v>129</v>
      </c>
      <c r="G7" s="33"/>
      <c r="H7" s="27" t="s">
        <v>129</v>
      </c>
      <c r="I7" s="33"/>
      <c r="J7" s="261" t="s">
        <v>129</v>
      </c>
      <c r="K7" s="379"/>
      <c r="L7" s="55" t="s">
        <v>129</v>
      </c>
      <c r="M7" s="239" t="s">
        <v>129</v>
      </c>
    </row>
    <row r="8" spans="1:13" ht="15" customHeight="1" x14ac:dyDescent="0.2">
      <c r="A8" s="25">
        <v>4</v>
      </c>
      <c r="B8" s="25" t="s">
        <v>3</v>
      </c>
      <c r="C8" s="177">
        <v>82331024.799999997</v>
      </c>
      <c r="D8" s="233">
        <v>83296622.980000004</v>
      </c>
      <c r="E8" s="33">
        <v>82221412.900000006</v>
      </c>
      <c r="F8" s="456">
        <f>E8/D8</f>
        <v>0.9870917926617726</v>
      </c>
      <c r="G8" s="33">
        <v>82206847.159999996</v>
      </c>
      <c r="H8" s="456">
        <f>G8/D8</f>
        <v>0.98691692674909914</v>
      </c>
      <c r="I8" s="33">
        <v>78314913.420000002</v>
      </c>
      <c r="J8" s="458">
        <f>I8/D8</f>
        <v>0.94019313890797063</v>
      </c>
      <c r="K8" s="35">
        <v>78268509.459999993</v>
      </c>
      <c r="L8" s="375">
        <v>0.97206631859940784</v>
      </c>
      <c r="M8" s="269">
        <f>+I8/K8-1</f>
        <v>5.9288161126569427E-4</v>
      </c>
    </row>
    <row r="9" spans="1:13" ht="15" customHeight="1" x14ac:dyDescent="0.2">
      <c r="A9" s="9"/>
      <c r="B9" s="2" t="s">
        <v>4</v>
      </c>
      <c r="C9" s="179">
        <f>SUM(C5:C8)</f>
        <v>288510281.49000001</v>
      </c>
      <c r="D9" s="169">
        <f t="shared" ref="D9:I9" si="0">SUM(D5:D8)</f>
        <v>295361239.47000003</v>
      </c>
      <c r="E9" s="92">
        <f t="shared" si="0"/>
        <v>285862361.76999998</v>
      </c>
      <c r="F9" s="98">
        <f>E9/D9</f>
        <v>0.96783979605094783</v>
      </c>
      <c r="G9" s="92">
        <f t="shared" si="0"/>
        <v>282762693.75</v>
      </c>
      <c r="H9" s="98">
        <f>G9/D9</f>
        <v>0.95734529776958199</v>
      </c>
      <c r="I9" s="92">
        <f t="shared" si="0"/>
        <v>238191884.17000002</v>
      </c>
      <c r="J9" s="188">
        <f>I9/D9</f>
        <v>0.80644259415153652</v>
      </c>
      <c r="K9" s="92">
        <f>SUM(K5:K8)</f>
        <v>235159708.37</v>
      </c>
      <c r="L9" s="44">
        <v>0.82399999999999995</v>
      </c>
      <c r="M9" s="242">
        <f>+I9/K9-1</f>
        <v>1.2894112775600153E-2</v>
      </c>
    </row>
    <row r="10" spans="1:13" ht="15" customHeight="1" x14ac:dyDescent="0.2">
      <c r="A10" s="21">
        <v>6</v>
      </c>
      <c r="B10" s="21" t="s">
        <v>5</v>
      </c>
      <c r="C10" s="178">
        <v>14967144.689999999</v>
      </c>
      <c r="D10" s="234">
        <v>28422222.190000001</v>
      </c>
      <c r="E10" s="35">
        <v>25961468.300000001</v>
      </c>
      <c r="F10" s="49">
        <f>E10/D10</f>
        <v>0.91342148148902358</v>
      </c>
      <c r="G10" s="154">
        <v>25621865.510000002</v>
      </c>
      <c r="H10" s="49">
        <f>G10/D10</f>
        <v>0.90147298612754956</v>
      </c>
      <c r="I10" s="33">
        <v>14942754.359999999</v>
      </c>
      <c r="J10" s="170">
        <f>I10/D10</f>
        <v>0.52574194445842515</v>
      </c>
      <c r="K10" s="153">
        <v>26419560.809999999</v>
      </c>
      <c r="L10" s="53">
        <v>0.55302003594650218</v>
      </c>
      <c r="M10" s="238">
        <f t="shared" ref="M10:M11" si="1">+I10/K10-1</f>
        <v>-0.43440564862289244</v>
      </c>
    </row>
    <row r="11" spans="1:13" ht="15" customHeight="1" x14ac:dyDescent="0.2">
      <c r="A11" s="25">
        <v>7</v>
      </c>
      <c r="B11" s="25" t="s">
        <v>6</v>
      </c>
      <c r="C11" s="178">
        <v>0</v>
      </c>
      <c r="D11" s="234">
        <v>869022.69</v>
      </c>
      <c r="E11" s="35">
        <v>544022.68999999994</v>
      </c>
      <c r="F11" s="49">
        <f>E11/D11</f>
        <v>0.6260166693691277</v>
      </c>
      <c r="G11" s="154">
        <v>544022.68999999994</v>
      </c>
      <c r="H11" s="49">
        <f>G11/D11</f>
        <v>0.6260166693691277</v>
      </c>
      <c r="I11" s="154">
        <v>269022.69</v>
      </c>
      <c r="J11" s="170">
        <f>I11/D11</f>
        <v>0.30956923575838974</v>
      </c>
      <c r="K11" s="154">
        <v>807533.27</v>
      </c>
      <c r="L11" s="375">
        <v>0.80924996431930918</v>
      </c>
      <c r="M11" s="238">
        <f t="shared" si="1"/>
        <v>-0.66685869177873003</v>
      </c>
    </row>
    <row r="12" spans="1:13" ht="15" customHeight="1" x14ac:dyDescent="0.2">
      <c r="A12" s="9"/>
      <c r="B12" s="2" t="s">
        <v>7</v>
      </c>
      <c r="C12" s="179">
        <f>SUM(C10:C11)</f>
        <v>14967144.689999999</v>
      </c>
      <c r="D12" s="169">
        <f t="shared" ref="D12:I12" si="2">SUM(D10:D11)</f>
        <v>29291244.880000003</v>
      </c>
      <c r="E12" s="92">
        <f t="shared" si="2"/>
        <v>26505490.990000002</v>
      </c>
      <c r="F12" s="98">
        <f>E12/D12</f>
        <v>0.90489465704128857</v>
      </c>
      <c r="G12" s="92">
        <f t="shared" si="2"/>
        <v>26165888.200000003</v>
      </c>
      <c r="H12" s="98">
        <f>G12/D12</f>
        <v>0.89330065373445477</v>
      </c>
      <c r="I12" s="92">
        <f t="shared" si="2"/>
        <v>15211777.049999999</v>
      </c>
      <c r="J12" s="188">
        <f>I12/D12</f>
        <v>0.51932845846325115</v>
      </c>
      <c r="K12" s="92">
        <f>SUM(K10:K11)</f>
        <v>27227094.079999998</v>
      </c>
      <c r="L12" s="44">
        <v>0.55800000000000005</v>
      </c>
      <c r="M12" s="242">
        <f>+I12/K12-1</f>
        <v>-0.4413000151502029</v>
      </c>
    </row>
    <row r="13" spans="1:13" ht="15" customHeight="1" x14ac:dyDescent="0.2">
      <c r="A13" s="21">
        <v>8</v>
      </c>
      <c r="B13" s="21" t="s">
        <v>8</v>
      </c>
      <c r="C13" s="176"/>
      <c r="D13" s="232"/>
      <c r="E13" s="31"/>
      <c r="F13" s="28" t="s">
        <v>129</v>
      </c>
      <c r="G13" s="31"/>
      <c r="H13" s="28" t="s">
        <v>129</v>
      </c>
      <c r="I13" s="31"/>
      <c r="J13" s="256" t="s">
        <v>129</v>
      </c>
      <c r="K13" s="31"/>
      <c r="L13" s="112"/>
      <c r="M13" s="243" t="s">
        <v>129</v>
      </c>
    </row>
    <row r="14" spans="1:13" ht="15" customHeight="1" x14ac:dyDescent="0.2">
      <c r="A14" s="25">
        <v>9</v>
      </c>
      <c r="B14" s="25" t="s">
        <v>9</v>
      </c>
      <c r="C14" s="178"/>
      <c r="D14" s="234"/>
      <c r="E14" s="35"/>
      <c r="F14" s="29" t="s">
        <v>129</v>
      </c>
      <c r="G14" s="35"/>
      <c r="H14" s="29" t="s">
        <v>129</v>
      </c>
      <c r="I14" s="35"/>
      <c r="J14" s="257" t="s">
        <v>129</v>
      </c>
      <c r="K14" s="35"/>
      <c r="L14" s="113"/>
      <c r="M14" s="244" t="s">
        <v>129</v>
      </c>
    </row>
    <row r="15" spans="1:13" ht="15" customHeight="1" thickBot="1" x14ac:dyDescent="0.25">
      <c r="A15" s="9"/>
      <c r="B15" s="2" t="s">
        <v>10</v>
      </c>
      <c r="C15" s="179">
        <f>SUM(C13:C14)</f>
        <v>0</v>
      </c>
      <c r="D15" s="169">
        <f t="shared" ref="D15:I15" si="3">SUM(D13:D14)</f>
        <v>0</v>
      </c>
      <c r="E15" s="92">
        <f t="shared" si="3"/>
        <v>0</v>
      </c>
      <c r="F15" s="258" t="s">
        <v>129</v>
      </c>
      <c r="G15" s="92">
        <f t="shared" si="3"/>
        <v>0</v>
      </c>
      <c r="H15" s="258" t="s">
        <v>129</v>
      </c>
      <c r="I15" s="92">
        <f t="shared" si="3"/>
        <v>0</v>
      </c>
      <c r="J15" s="259" t="s">
        <v>129</v>
      </c>
      <c r="K15" s="92">
        <f>SUM(K13:K14)</f>
        <v>0</v>
      </c>
      <c r="L15" s="114" t="s">
        <v>129</v>
      </c>
      <c r="M15" s="262" t="s">
        <v>129</v>
      </c>
    </row>
    <row r="16" spans="1:13" s="6" customFormat="1" ht="19.5" customHeight="1" thickBot="1" x14ac:dyDescent="0.25">
      <c r="A16" s="5"/>
      <c r="B16" s="4" t="s">
        <v>11</v>
      </c>
      <c r="C16" s="180">
        <f>+C9+C12+C15</f>
        <v>303477426.18000001</v>
      </c>
      <c r="D16" s="171">
        <f t="shared" ref="D16:I16" si="4">+D9+D12+D15</f>
        <v>324652484.35000002</v>
      </c>
      <c r="E16" s="172">
        <f t="shared" si="4"/>
        <v>312367852.75999999</v>
      </c>
      <c r="F16" s="199">
        <f>E16/D16</f>
        <v>0.96216067277416473</v>
      </c>
      <c r="G16" s="172">
        <f t="shared" si="4"/>
        <v>308928581.94999999</v>
      </c>
      <c r="H16" s="199">
        <f>G16/D16</f>
        <v>0.95156697343166341</v>
      </c>
      <c r="I16" s="172">
        <f t="shared" si="4"/>
        <v>253403661.22000003</v>
      </c>
      <c r="J16" s="191">
        <f>I16/D16</f>
        <v>0.78053818601557856</v>
      </c>
      <c r="K16" s="164">
        <f>K9+K12+K15</f>
        <v>262386802.44999999</v>
      </c>
      <c r="L16" s="208">
        <v>0.78500000000000003</v>
      </c>
      <c r="M16" s="205">
        <f>+I16/K16-1</f>
        <v>-3.4236254057449345E-2</v>
      </c>
    </row>
  </sheetData>
  <mergeCells count="2">
    <mergeCell ref="K2:L2"/>
    <mergeCell ref="D2:J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1.5703125" bestFit="1" customWidth="1"/>
    <col min="4" max="5" width="11.5703125" style="47" bestFit="1" customWidth="1"/>
    <col min="6" max="6" width="6.28515625" style="105" customWidth="1"/>
    <col min="7" max="7" width="11.5703125" style="47" bestFit="1" customWidth="1"/>
    <col min="8" max="8" width="6.28515625" style="105" customWidth="1"/>
    <col min="9" max="9" width="11.5703125" style="47" bestFit="1" customWidth="1"/>
    <col min="10" max="10" width="6.28515625" style="105" customWidth="1"/>
    <col min="11" max="11" width="11.5703125" style="47" bestFit="1" customWidth="1"/>
    <col min="12" max="12" width="6.28515625" style="528" bestFit="1" customWidth="1"/>
    <col min="13" max="13" width="9" style="105" bestFit="1" customWidth="1"/>
  </cols>
  <sheetData>
    <row r="1" spans="1:13" ht="15" x14ac:dyDescent="0.25">
      <c r="A1" s="7" t="s">
        <v>128</v>
      </c>
    </row>
    <row r="2" spans="1:13" x14ac:dyDescent="0.2">
      <c r="D2"/>
      <c r="E2"/>
      <c r="F2"/>
      <c r="G2"/>
      <c r="H2"/>
      <c r="I2"/>
      <c r="J2"/>
      <c r="K2"/>
      <c r="L2"/>
      <c r="M2"/>
    </row>
    <row r="3" spans="1:13" x14ac:dyDescent="0.2">
      <c r="D3"/>
      <c r="E3"/>
      <c r="F3"/>
      <c r="G3"/>
      <c r="H3"/>
      <c r="I3"/>
      <c r="J3"/>
      <c r="K3"/>
      <c r="L3"/>
      <c r="M3"/>
    </row>
    <row r="4" spans="1:13" x14ac:dyDescent="0.2">
      <c r="D4"/>
      <c r="E4"/>
      <c r="F4"/>
      <c r="G4"/>
      <c r="H4"/>
      <c r="I4"/>
      <c r="J4"/>
      <c r="K4"/>
      <c r="L4"/>
      <c r="M4"/>
    </row>
    <row r="5" spans="1:13" ht="15" customHeight="1" x14ac:dyDescent="0.2">
      <c r="D5"/>
      <c r="E5"/>
      <c r="F5"/>
      <c r="G5"/>
      <c r="H5"/>
      <c r="I5"/>
      <c r="J5"/>
      <c r="K5"/>
      <c r="L5"/>
      <c r="M5"/>
    </row>
    <row r="6" spans="1:13" ht="15" customHeight="1" x14ac:dyDescent="0.2">
      <c r="D6"/>
      <c r="E6"/>
      <c r="F6"/>
      <c r="G6"/>
      <c r="H6"/>
      <c r="I6"/>
      <c r="J6"/>
      <c r="K6"/>
      <c r="L6"/>
      <c r="M6"/>
    </row>
    <row r="7" spans="1:13" ht="15" customHeight="1" x14ac:dyDescent="0.2">
      <c r="D7"/>
      <c r="E7"/>
      <c r="F7"/>
      <c r="G7"/>
      <c r="H7"/>
      <c r="I7"/>
      <c r="J7"/>
      <c r="K7"/>
      <c r="L7"/>
      <c r="M7"/>
    </row>
    <row r="8" spans="1:13" ht="15" customHeight="1" x14ac:dyDescent="0.2">
      <c r="D8"/>
      <c r="E8"/>
      <c r="F8"/>
      <c r="G8"/>
      <c r="H8"/>
      <c r="I8"/>
      <c r="J8"/>
      <c r="K8"/>
      <c r="L8"/>
      <c r="M8"/>
    </row>
    <row r="9" spans="1:13" ht="15" customHeight="1" x14ac:dyDescent="0.2">
      <c r="D9"/>
      <c r="E9"/>
      <c r="F9"/>
      <c r="G9"/>
      <c r="H9"/>
      <c r="I9"/>
      <c r="J9"/>
      <c r="K9"/>
      <c r="L9"/>
      <c r="M9"/>
    </row>
    <row r="10" spans="1:13" ht="15" customHeight="1" x14ac:dyDescent="0.2">
      <c r="D10"/>
      <c r="E10"/>
      <c r="F10"/>
      <c r="G10"/>
      <c r="H10"/>
      <c r="I10"/>
      <c r="J10"/>
      <c r="K10"/>
      <c r="L10"/>
      <c r="M10"/>
    </row>
    <row r="11" spans="1:13" ht="15" customHeight="1" x14ac:dyDescent="0.2">
      <c r="D11"/>
      <c r="E11"/>
      <c r="F11"/>
      <c r="G11"/>
      <c r="H11"/>
      <c r="I11"/>
      <c r="J11"/>
      <c r="K11"/>
      <c r="L11"/>
      <c r="M11"/>
    </row>
    <row r="12" spans="1:13" ht="15" customHeight="1" x14ac:dyDescent="0.2">
      <c r="D12"/>
      <c r="E12"/>
      <c r="F12"/>
      <c r="G12"/>
      <c r="H12"/>
      <c r="I12"/>
      <c r="J12"/>
      <c r="K12"/>
      <c r="L12"/>
      <c r="M12"/>
    </row>
    <row r="13" spans="1:13" ht="15" customHeight="1" x14ac:dyDescent="0.2">
      <c r="D13"/>
      <c r="E13"/>
      <c r="F13"/>
      <c r="G13"/>
      <c r="H13"/>
      <c r="I13"/>
      <c r="J13"/>
      <c r="K13"/>
      <c r="L13"/>
      <c r="M13"/>
    </row>
    <row r="14" spans="1:13" ht="15" customHeight="1" x14ac:dyDescent="0.2">
      <c r="D14"/>
      <c r="E14"/>
      <c r="F14"/>
      <c r="G14"/>
      <c r="H14"/>
      <c r="I14"/>
      <c r="J14"/>
      <c r="K14"/>
      <c r="L14"/>
      <c r="M14"/>
    </row>
    <row r="15" spans="1:13" ht="15" customHeight="1" x14ac:dyDescent="0.2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83"/>
  <sheetViews>
    <sheetView tabSelected="1" topLeftCell="A47" zoomScaleNormal="100" workbookViewId="0">
      <selection activeCell="E58" sqref="E58"/>
    </sheetView>
  </sheetViews>
  <sheetFormatPr defaultColWidth="11.42578125" defaultRowHeight="12.75" x14ac:dyDescent="0.2"/>
  <cols>
    <col min="1" max="1" width="2.7109375" customWidth="1"/>
    <col min="2" max="2" width="35.28515625" customWidth="1"/>
    <col min="3" max="3" width="13.28515625" bestFit="1" customWidth="1"/>
    <col min="4" max="4" width="11.5703125" bestFit="1" customWidth="1"/>
    <col min="5" max="5" width="10.85546875" customWidth="1"/>
    <col min="6" max="6" width="6.28515625" style="105" bestFit="1" customWidth="1"/>
    <col min="7" max="7" width="11.140625" bestFit="1" customWidth="1"/>
    <col min="8" max="8" width="6.140625" style="105" customWidth="1"/>
    <col min="9" max="9" width="11.28515625" customWidth="1"/>
    <col min="10" max="10" width="10.5703125" style="105" bestFit="1" customWidth="1"/>
    <col min="11" max="11" width="7.140625" style="105" bestFit="1" customWidth="1"/>
    <col min="12" max="12" width="25.85546875" style="64" customWidth="1"/>
    <col min="14" max="14" width="12.7109375" bestFit="1" customWidth="1"/>
    <col min="16" max="16" width="12.7109375" bestFit="1" customWidth="1"/>
  </cols>
  <sheetData>
    <row r="1" spans="1:17" ht="15.75" thickBot="1" x14ac:dyDescent="0.3">
      <c r="A1" s="7" t="s">
        <v>228</v>
      </c>
      <c r="E1" t="s">
        <v>148</v>
      </c>
    </row>
    <row r="2" spans="1:17" x14ac:dyDescent="0.2">
      <c r="A2" s="8" t="s">
        <v>291</v>
      </c>
      <c r="C2" s="181" t="s">
        <v>479</v>
      </c>
      <c r="D2" s="592" t="s">
        <v>551</v>
      </c>
      <c r="E2" s="593"/>
      <c r="F2" s="593"/>
      <c r="G2" s="593"/>
      <c r="H2" s="594"/>
      <c r="I2" s="589" t="s">
        <v>552</v>
      </c>
      <c r="J2" s="590"/>
      <c r="K2" s="224"/>
    </row>
    <row r="3" spans="1:17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166" t="s">
        <v>46</v>
      </c>
      <c r="I3" s="95" t="s">
        <v>47</v>
      </c>
      <c r="J3" s="16" t="s">
        <v>48</v>
      </c>
      <c r="K3" s="156" t="s">
        <v>360</v>
      </c>
      <c r="M3" s="389"/>
      <c r="O3" s="389"/>
    </row>
    <row r="4" spans="1:17" ht="25.5" x14ac:dyDescent="0.2">
      <c r="A4" s="1"/>
      <c r="B4" s="2" t="s">
        <v>150</v>
      </c>
      <c r="C4" s="175" t="s">
        <v>44</v>
      </c>
      <c r="D4" s="127" t="s">
        <v>45</v>
      </c>
      <c r="E4" s="97" t="s">
        <v>133</v>
      </c>
      <c r="F4" s="97" t="s">
        <v>18</v>
      </c>
      <c r="G4" s="97" t="s">
        <v>415</v>
      </c>
      <c r="H4" s="128" t="s">
        <v>18</v>
      </c>
      <c r="I4" s="97" t="s">
        <v>133</v>
      </c>
      <c r="J4" s="12" t="s">
        <v>18</v>
      </c>
      <c r="K4" s="157" t="s">
        <v>516</v>
      </c>
      <c r="L4" s="62" t="s">
        <v>163</v>
      </c>
      <c r="M4" s="389"/>
      <c r="O4" s="389"/>
    </row>
    <row r="5" spans="1:17" s="328" customFormat="1" ht="15" customHeight="1" x14ac:dyDescent="0.2">
      <c r="A5" s="322"/>
      <c r="B5" s="322" t="s">
        <v>151</v>
      </c>
      <c r="C5" s="332">
        <v>623411010</v>
      </c>
      <c r="D5" s="333">
        <v>623411010</v>
      </c>
      <c r="E5" s="149">
        <v>533191209.67000002</v>
      </c>
      <c r="F5" s="438">
        <f>+E5/D5</f>
        <v>0.85528038664251371</v>
      </c>
      <c r="G5" s="149">
        <v>508180177.70999998</v>
      </c>
      <c r="H5" s="430">
        <f>G5/E5</f>
        <v>0.95309181489417327</v>
      </c>
      <c r="I5" s="325">
        <v>500428034.11999995</v>
      </c>
      <c r="J5" s="438">
        <v>0.84556186689060508</v>
      </c>
      <c r="K5" s="326">
        <f>+E5/I5-1</f>
        <v>6.5470304052038131E-2</v>
      </c>
      <c r="L5" s="327" t="s">
        <v>164</v>
      </c>
      <c r="M5" s="389"/>
      <c r="N5"/>
      <c r="O5" s="390"/>
    </row>
    <row r="6" spans="1:17" s="328" customFormat="1" ht="15" customHeight="1" x14ac:dyDescent="0.2">
      <c r="A6" s="329"/>
      <c r="B6" s="329" t="s">
        <v>153</v>
      </c>
      <c r="C6" s="332">
        <v>58620000</v>
      </c>
      <c r="D6" s="333">
        <v>58620000</v>
      </c>
      <c r="E6" s="149">
        <v>61310569.869999997</v>
      </c>
      <c r="F6" s="373">
        <f t="shared" ref="F6:F68" si="0">+E6/D6</f>
        <v>1.045898496588195</v>
      </c>
      <c r="G6" s="149">
        <v>51717240.109999999</v>
      </c>
      <c r="H6" s="430">
        <f t="shared" ref="H6:H11" si="1">G6/E6</f>
        <v>0.84352894157824276</v>
      </c>
      <c r="I6" s="149">
        <v>62287987.229999997</v>
      </c>
      <c r="J6" s="373">
        <v>1.0625722830092119</v>
      </c>
      <c r="K6" s="334">
        <f t="shared" ref="K6:K68" si="2">+E6/I6-1</f>
        <v>-1.569190791782793E-2</v>
      </c>
      <c r="L6" s="330">
        <v>115</v>
      </c>
      <c r="M6" s="389"/>
      <c r="N6"/>
      <c r="O6" s="389"/>
    </row>
    <row r="7" spans="1:17" s="328" customFormat="1" ht="15" customHeight="1" x14ac:dyDescent="0.2">
      <c r="A7" s="329"/>
      <c r="B7" s="329" t="s">
        <v>152</v>
      </c>
      <c r="C7" s="332">
        <v>120814000</v>
      </c>
      <c r="D7" s="333">
        <v>120814000</v>
      </c>
      <c r="E7" s="149">
        <v>153074597.47</v>
      </c>
      <c r="F7" s="373">
        <f t="shared" si="0"/>
        <v>1.2670269792408164</v>
      </c>
      <c r="G7" s="149">
        <v>147262055.84</v>
      </c>
      <c r="H7" s="430">
        <f t="shared" si="1"/>
        <v>0.96202804563220135</v>
      </c>
      <c r="I7" s="149">
        <v>111613404.26000001</v>
      </c>
      <c r="J7" s="373">
        <v>1.2734423797734093</v>
      </c>
      <c r="K7" s="334">
        <f t="shared" si="2"/>
        <v>0.37147145080726518</v>
      </c>
      <c r="L7" s="330">
        <v>116</v>
      </c>
      <c r="M7" s="389"/>
      <c r="N7" s="543"/>
      <c r="O7" s="544"/>
    </row>
    <row r="8" spans="1:17" s="328" customFormat="1" ht="15" customHeight="1" x14ac:dyDescent="0.2">
      <c r="A8" s="329"/>
      <c r="B8" s="329" t="s">
        <v>154</v>
      </c>
      <c r="C8" s="332">
        <v>89678010</v>
      </c>
      <c r="D8" s="333">
        <v>89678010</v>
      </c>
      <c r="E8" s="149">
        <v>38935600.409999996</v>
      </c>
      <c r="F8" s="373">
        <f t="shared" si="0"/>
        <v>0.43417110181191571</v>
      </c>
      <c r="G8" s="149">
        <v>26021210.260000002</v>
      </c>
      <c r="H8" s="430">
        <f t="shared" si="1"/>
        <v>0.66831408751865207</v>
      </c>
      <c r="I8" s="149">
        <v>38665769.810000002</v>
      </c>
      <c r="J8" s="373">
        <v>0.42335397863246416</v>
      </c>
      <c r="K8" s="334">
        <f t="shared" si="2"/>
        <v>6.9785394504213727E-3</v>
      </c>
      <c r="L8" s="330">
        <v>130</v>
      </c>
      <c r="M8" s="389"/>
      <c r="N8" s="543"/>
      <c r="O8" s="544"/>
    </row>
    <row r="9" spans="1:17" s="328" customFormat="1" ht="15" customHeight="1" x14ac:dyDescent="0.2">
      <c r="A9" s="331"/>
      <c r="B9" s="331" t="s">
        <v>357</v>
      </c>
      <c r="C9" s="332">
        <v>10</v>
      </c>
      <c r="D9" s="333">
        <v>10</v>
      </c>
      <c r="E9" s="149">
        <v>0</v>
      </c>
      <c r="F9" s="373" t="s">
        <v>129</v>
      </c>
      <c r="G9" s="149">
        <v>0</v>
      </c>
      <c r="H9" s="430" t="s">
        <v>129</v>
      </c>
      <c r="I9" s="477">
        <v>-14.77</v>
      </c>
      <c r="J9" s="373" t="s">
        <v>129</v>
      </c>
      <c r="K9" s="334" t="s">
        <v>129</v>
      </c>
      <c r="L9" s="330">
        <v>180</v>
      </c>
      <c r="M9" s="389"/>
      <c r="N9" s="543"/>
      <c r="O9" s="544"/>
    </row>
    <row r="10" spans="1:17" s="328" customFormat="1" ht="15" customHeight="1" x14ac:dyDescent="0.2">
      <c r="A10" s="331"/>
      <c r="B10" s="331" t="s">
        <v>155</v>
      </c>
      <c r="C10" s="332">
        <v>16767000</v>
      </c>
      <c r="D10" s="333">
        <v>16767000</v>
      </c>
      <c r="E10" s="149">
        <v>18883179.870000001</v>
      </c>
      <c r="F10" s="439">
        <f t="shared" si="0"/>
        <v>1.1262110019681517</v>
      </c>
      <c r="G10" s="149">
        <v>17241314.879999999</v>
      </c>
      <c r="H10" s="430">
        <f t="shared" si="1"/>
        <v>0.91305145630644247</v>
      </c>
      <c r="I10" s="335">
        <v>16412635.880000001</v>
      </c>
      <c r="J10" s="439">
        <v>1.1015191865771812</v>
      </c>
      <c r="K10" s="336">
        <f t="shared" si="2"/>
        <v>0.1505269481430791</v>
      </c>
      <c r="L10" s="330">
        <v>290</v>
      </c>
      <c r="M10" s="389"/>
      <c r="N10" s="543"/>
      <c r="O10" s="544"/>
    </row>
    <row r="11" spans="1:17" ht="15" customHeight="1" x14ac:dyDescent="0.2">
      <c r="A11" s="9"/>
      <c r="B11" s="2" t="s">
        <v>156</v>
      </c>
      <c r="C11" s="179">
        <f>SUM(C5:C10)</f>
        <v>909290030</v>
      </c>
      <c r="D11" s="169">
        <f>SUM(D5:D10)</f>
        <v>909290030</v>
      </c>
      <c r="E11" s="92">
        <f>SUM(E5:E10)</f>
        <v>805395157.28999996</v>
      </c>
      <c r="F11" s="98">
        <f t="shared" si="0"/>
        <v>0.8857406665835762</v>
      </c>
      <c r="G11" s="92">
        <f>SUM(G5:G10)</f>
        <v>750421998.79999995</v>
      </c>
      <c r="H11" s="188">
        <f t="shared" si="1"/>
        <v>0.93174386760037875</v>
      </c>
      <c r="I11" s="92">
        <f>SUM(I5:I10)</f>
        <v>729407816.52999985</v>
      </c>
      <c r="J11" s="44">
        <v>0.86399999999999999</v>
      </c>
      <c r="K11" s="161">
        <f t="shared" si="2"/>
        <v>0.1041767568676375</v>
      </c>
      <c r="M11" s="389"/>
      <c r="N11" s="543"/>
      <c r="O11" s="544"/>
      <c r="P11" s="328"/>
      <c r="Q11" s="328"/>
    </row>
    <row r="12" spans="1:17" s="328" customFormat="1" ht="15" customHeight="1" x14ac:dyDescent="0.2">
      <c r="A12" s="322"/>
      <c r="B12" s="322" t="s">
        <v>157</v>
      </c>
      <c r="C12" s="332">
        <v>90227080</v>
      </c>
      <c r="D12" s="333">
        <v>90227080</v>
      </c>
      <c r="E12" s="149">
        <v>84068382.629999995</v>
      </c>
      <c r="F12" s="438">
        <f t="shared" si="0"/>
        <v>0.93174225110687381</v>
      </c>
      <c r="G12" s="325">
        <v>75390538.760000005</v>
      </c>
      <c r="H12" s="413">
        <f t="shared" ref="H12:H68" si="3">+G12/E12</f>
        <v>0.89677636706545505</v>
      </c>
      <c r="I12" s="325">
        <v>78924509.679999992</v>
      </c>
      <c r="J12" s="438">
        <v>0.93620529230639327</v>
      </c>
      <c r="K12" s="326">
        <f t="shared" si="2"/>
        <v>6.5174594949729547E-2</v>
      </c>
      <c r="L12" s="327" t="s">
        <v>165</v>
      </c>
      <c r="M12" s="389"/>
      <c r="N12" s="543"/>
      <c r="O12" s="544"/>
    </row>
    <row r="13" spans="1:17" s="328" customFormat="1" ht="15" customHeight="1" x14ac:dyDescent="0.2">
      <c r="A13" s="331"/>
      <c r="B13" s="331" t="s">
        <v>158</v>
      </c>
      <c r="C13" s="332">
        <v>936468101.54999995</v>
      </c>
      <c r="D13" s="333">
        <v>939282401.54999995</v>
      </c>
      <c r="E13" s="149">
        <v>910414037.94000006</v>
      </c>
      <c r="F13" s="439">
        <f t="shared" si="0"/>
        <v>0.96926551209480616</v>
      </c>
      <c r="G13" s="335">
        <v>815878458.10000002</v>
      </c>
      <c r="H13" s="431">
        <f t="shared" si="3"/>
        <v>0.89616199234591509</v>
      </c>
      <c r="I13" s="335">
        <v>896072506.25999999</v>
      </c>
      <c r="J13" s="439">
        <v>0.93785952185624144</v>
      </c>
      <c r="K13" s="336">
        <f t="shared" si="2"/>
        <v>1.6004878600570205E-2</v>
      </c>
      <c r="L13" s="327" t="s">
        <v>186</v>
      </c>
      <c r="M13" s="389"/>
      <c r="N13" s="389"/>
      <c r="O13" s="389"/>
    </row>
    <row r="14" spans="1:17" ht="15" customHeight="1" x14ac:dyDescent="0.2">
      <c r="A14" s="9"/>
      <c r="B14" s="2" t="s">
        <v>159</v>
      </c>
      <c r="C14" s="179">
        <f>SUM(C12:C13)</f>
        <v>1026695181.55</v>
      </c>
      <c r="D14" s="169">
        <f>SUM(D12:D13)</f>
        <v>1029509481.55</v>
      </c>
      <c r="E14" s="92">
        <f>SUM(E12:E13)</f>
        <v>994482420.57000005</v>
      </c>
      <c r="F14" s="98">
        <f t="shared" si="0"/>
        <v>0.96597694182741844</v>
      </c>
      <c r="G14" s="92">
        <f>SUM(G12:G13)</f>
        <v>891268996.86000001</v>
      </c>
      <c r="H14" s="189">
        <f t="shared" si="3"/>
        <v>0.89621392839619829</v>
      </c>
      <c r="I14" s="92">
        <f>SUM(I12:I13)</f>
        <v>974997015.93999994</v>
      </c>
      <c r="J14" s="44">
        <v>0.93799999999999994</v>
      </c>
      <c r="K14" s="161">
        <f t="shared" si="2"/>
        <v>1.9985091555602574E-2</v>
      </c>
      <c r="M14" s="389"/>
      <c r="N14" s="389"/>
      <c r="O14" s="389"/>
      <c r="P14" s="328"/>
      <c r="Q14" s="328"/>
    </row>
    <row r="15" spans="1:17" s="328" customFormat="1" ht="15" customHeight="1" x14ac:dyDescent="0.2">
      <c r="A15" s="322"/>
      <c r="B15" s="322" t="s">
        <v>160</v>
      </c>
      <c r="C15" s="332">
        <v>16001258</v>
      </c>
      <c r="D15" s="325">
        <v>16001258</v>
      </c>
      <c r="E15" s="325">
        <v>0</v>
      </c>
      <c r="F15" s="440" t="s">
        <v>129</v>
      </c>
      <c r="G15" s="325">
        <v>0</v>
      </c>
      <c r="H15" s="427" t="s">
        <v>129</v>
      </c>
      <c r="I15" s="325"/>
      <c r="J15" s="385">
        <v>0</v>
      </c>
      <c r="K15" s="326" t="s">
        <v>129</v>
      </c>
      <c r="L15" s="330">
        <v>32600</v>
      </c>
      <c r="M15" s="389"/>
      <c r="N15" s="542"/>
      <c r="O15" s="544"/>
    </row>
    <row r="16" spans="1:17" s="328" customFormat="1" ht="15" customHeight="1" x14ac:dyDescent="0.2">
      <c r="A16" s="322"/>
      <c r="B16" s="322" t="s">
        <v>166</v>
      </c>
      <c r="C16" s="332">
        <v>35354767</v>
      </c>
      <c r="D16" s="325">
        <v>35354767</v>
      </c>
      <c r="E16" s="325">
        <v>0</v>
      </c>
      <c r="F16" s="440" t="s">
        <v>129</v>
      </c>
      <c r="G16" s="325">
        <v>0</v>
      </c>
      <c r="H16" s="413" t="s">
        <v>129</v>
      </c>
      <c r="I16" s="325"/>
      <c r="J16" s="385">
        <v>0</v>
      </c>
      <c r="K16" s="336" t="s">
        <v>129</v>
      </c>
      <c r="L16" s="330">
        <v>33000</v>
      </c>
      <c r="M16" s="389"/>
      <c r="N16" s="542"/>
      <c r="O16" s="544"/>
    </row>
    <row r="17" spans="1:17" s="328" customFormat="1" ht="15" customHeight="1" x14ac:dyDescent="0.2">
      <c r="A17" s="322"/>
      <c r="B17" s="322" t="s">
        <v>161</v>
      </c>
      <c r="C17" s="369">
        <v>12029885</v>
      </c>
      <c r="D17" s="371">
        <v>12029885</v>
      </c>
      <c r="E17" s="325">
        <v>0</v>
      </c>
      <c r="F17" s="440" t="s">
        <v>129</v>
      </c>
      <c r="G17" s="325">
        <v>0</v>
      </c>
      <c r="H17" s="532" t="s">
        <v>129</v>
      </c>
      <c r="I17" s="338">
        <v>312210.09999999998</v>
      </c>
      <c r="J17" s="385">
        <v>1.0372428571428571</v>
      </c>
      <c r="K17" s="336" t="s">
        <v>129</v>
      </c>
      <c r="L17" s="330">
        <v>30903</v>
      </c>
      <c r="M17" s="389"/>
      <c r="N17" s="542"/>
      <c r="O17" s="544"/>
    </row>
    <row r="18" spans="1:17" s="328" customFormat="1" ht="15" customHeight="1" x14ac:dyDescent="0.2">
      <c r="A18" s="322"/>
      <c r="B18" s="398" t="s">
        <v>162</v>
      </c>
      <c r="C18" s="468">
        <v>15500000</v>
      </c>
      <c r="D18" s="434">
        <v>15500000</v>
      </c>
      <c r="E18" s="391">
        <v>13706684.890000001</v>
      </c>
      <c r="F18" s="441">
        <f t="shared" si="0"/>
        <v>0.88430225096774195</v>
      </c>
      <c r="G18" s="391">
        <v>12441283.449999999</v>
      </c>
      <c r="H18" s="413">
        <f>+G18/E18</f>
        <v>0.90767997877275186</v>
      </c>
      <c r="I18" s="391">
        <v>10998661.76</v>
      </c>
      <c r="J18" s="479">
        <v>0.69387809980442872</v>
      </c>
      <c r="K18" s="450">
        <f t="shared" si="2"/>
        <v>0.24621387484144264</v>
      </c>
      <c r="L18" s="330">
        <v>301</v>
      </c>
      <c r="M18" s="389"/>
      <c r="N18" s="542"/>
      <c r="O18" s="544"/>
    </row>
    <row r="19" spans="1:17" s="328" customFormat="1" ht="15" customHeight="1" x14ac:dyDescent="0.2">
      <c r="A19" s="322"/>
      <c r="B19" s="397" t="s">
        <v>167</v>
      </c>
      <c r="C19" s="332">
        <v>6068000</v>
      </c>
      <c r="D19" s="333">
        <v>6068000</v>
      </c>
      <c r="E19" s="325">
        <v>6644323.0300000003</v>
      </c>
      <c r="F19" s="440">
        <f t="shared" si="0"/>
        <v>1.0949774274884641</v>
      </c>
      <c r="G19" s="325">
        <v>6617247.4299999997</v>
      </c>
      <c r="H19" s="413">
        <f t="shared" ref="H19:H23" si="4">+G19/E19</f>
        <v>0.99592500246033333</v>
      </c>
      <c r="I19" s="325">
        <v>6153661.0099999998</v>
      </c>
      <c r="J19" s="385">
        <v>1.2319641661661662</v>
      </c>
      <c r="K19" s="451">
        <f t="shared" si="2"/>
        <v>7.9734977146555641E-2</v>
      </c>
      <c r="L19" s="330">
        <v>321</v>
      </c>
      <c r="M19" s="389"/>
      <c r="N19" s="543"/>
      <c r="O19" s="544"/>
    </row>
    <row r="20" spans="1:17" s="328" customFormat="1" ht="15" customHeight="1" x14ac:dyDescent="0.2">
      <c r="A20" s="322"/>
      <c r="B20" s="397" t="s">
        <v>168</v>
      </c>
      <c r="C20" s="332">
        <v>16757000.01</v>
      </c>
      <c r="D20" s="333">
        <v>16757000.01</v>
      </c>
      <c r="E20" s="325">
        <v>15956048.17</v>
      </c>
      <c r="F20" s="440">
        <f t="shared" si="0"/>
        <v>0.95220195503240324</v>
      </c>
      <c r="G20" s="325">
        <v>15456104.73</v>
      </c>
      <c r="H20" s="413">
        <f t="shared" si="4"/>
        <v>0.96866746485887556</v>
      </c>
      <c r="I20" s="325">
        <v>16980549.859999999</v>
      </c>
      <c r="J20" s="385">
        <v>1.0366636056166056</v>
      </c>
      <c r="K20" s="451">
        <f t="shared" si="2"/>
        <v>-6.0333834796089447E-2</v>
      </c>
      <c r="L20" s="330">
        <v>331</v>
      </c>
      <c r="M20" s="531"/>
      <c r="N20" s="543"/>
      <c r="O20" s="544"/>
      <c r="P20" s="531"/>
      <c r="Q20" s="531"/>
    </row>
    <row r="21" spans="1:17" s="328" customFormat="1" ht="15" customHeight="1" x14ac:dyDescent="0.2">
      <c r="A21" s="322"/>
      <c r="B21" s="397" t="s">
        <v>169</v>
      </c>
      <c r="C21" s="332">
        <v>30559000</v>
      </c>
      <c r="D21" s="333">
        <v>30559000</v>
      </c>
      <c r="E21" s="325">
        <v>28225589.460000001</v>
      </c>
      <c r="F21" s="440">
        <f t="shared" si="0"/>
        <v>0.92364244445171639</v>
      </c>
      <c r="G21" s="325">
        <v>20572703.73</v>
      </c>
      <c r="H21" s="413">
        <f t="shared" si="4"/>
        <v>0.72886710689088297</v>
      </c>
      <c r="I21" s="325">
        <v>20515285.82</v>
      </c>
      <c r="J21" s="385">
        <v>0.62122352894864341</v>
      </c>
      <c r="K21" s="451">
        <f t="shared" si="2"/>
        <v>0.37583213354421607</v>
      </c>
      <c r="L21" s="355" t="s">
        <v>170</v>
      </c>
      <c r="M21" s="389"/>
      <c r="N21" s="389"/>
      <c r="O21" s="389"/>
    </row>
    <row r="22" spans="1:17" s="328" customFormat="1" ht="15" customHeight="1" x14ac:dyDescent="0.2">
      <c r="A22" s="322"/>
      <c r="B22" s="397" t="s">
        <v>171</v>
      </c>
      <c r="C22" s="332">
        <v>8526999.9900000002</v>
      </c>
      <c r="D22" s="333">
        <v>8526999.9900000002</v>
      </c>
      <c r="E22" s="325">
        <v>7460213.3099999996</v>
      </c>
      <c r="F22" s="440">
        <f t="shared" si="0"/>
        <v>0.87489308300093005</v>
      </c>
      <c r="G22" s="325">
        <v>6341519.3899999997</v>
      </c>
      <c r="H22" s="413">
        <f t="shared" si="4"/>
        <v>0.85004531726988919</v>
      </c>
      <c r="I22" s="325">
        <v>7569144.8499999996</v>
      </c>
      <c r="J22" s="385">
        <v>0.94449024831544792</v>
      </c>
      <c r="K22" s="451">
        <f t="shared" si="2"/>
        <v>-1.4391525351770795E-2</v>
      </c>
      <c r="L22" s="355">
        <v>335</v>
      </c>
      <c r="M22" s="389"/>
      <c r="N22" s="389"/>
      <c r="O22" s="389"/>
    </row>
    <row r="23" spans="1:17" s="328" customFormat="1" ht="15" customHeight="1" x14ac:dyDescent="0.2">
      <c r="A23" s="360"/>
      <c r="B23" s="550" t="s">
        <v>172</v>
      </c>
      <c r="C23" s="369">
        <v>3029617.1200000066</v>
      </c>
      <c r="D23" s="370">
        <v>3029617.1200000048</v>
      </c>
      <c r="E23" s="371">
        <v>3398775.6599999964</v>
      </c>
      <c r="F23" s="446">
        <f t="shared" si="0"/>
        <v>1.1218498989733696</v>
      </c>
      <c r="G23" s="371">
        <v>2116932.1100000069</v>
      </c>
      <c r="H23" s="532">
        <f t="shared" si="4"/>
        <v>0.62285137995839623</v>
      </c>
      <c r="I23" s="370">
        <v>3039695.8200000003</v>
      </c>
      <c r="J23" s="480">
        <v>0.18663258152734299</v>
      </c>
      <c r="K23" s="452">
        <f t="shared" si="2"/>
        <v>0.11813018843444545</v>
      </c>
      <c r="L23" s="359" t="s">
        <v>173</v>
      </c>
      <c r="M23" s="389"/>
      <c r="N23" s="389"/>
      <c r="O23" s="389"/>
    </row>
    <row r="24" spans="1:17" s="328" customFormat="1" ht="15" customHeight="1" x14ac:dyDescent="0.2">
      <c r="A24" s="322"/>
      <c r="B24" s="322" t="s">
        <v>174</v>
      </c>
      <c r="C24" s="468">
        <v>17635000</v>
      </c>
      <c r="D24" s="434">
        <v>17635000</v>
      </c>
      <c r="E24" s="325">
        <v>12441662.32</v>
      </c>
      <c r="F24" s="440">
        <f t="shared" si="0"/>
        <v>0.70550962971363762</v>
      </c>
      <c r="G24" s="325">
        <v>4730037.17</v>
      </c>
      <c r="H24" s="413">
        <f>+G24/E24</f>
        <v>0.38017726637673283</v>
      </c>
      <c r="I24" s="325">
        <v>11497468.91</v>
      </c>
      <c r="J24" s="385">
        <v>0.65156233197325175</v>
      </c>
      <c r="K24" s="326">
        <f t="shared" si="2"/>
        <v>8.2121849373193889E-2</v>
      </c>
      <c r="L24" s="355">
        <v>34920</v>
      </c>
      <c r="M24" s="389"/>
      <c r="N24" s="389"/>
      <c r="O24" s="389"/>
    </row>
    <row r="25" spans="1:17" s="328" customFormat="1" ht="15" customHeight="1" x14ac:dyDescent="0.2">
      <c r="A25" s="322"/>
      <c r="B25" s="322" t="s">
        <v>175</v>
      </c>
      <c r="C25" s="332">
        <v>6259000</v>
      </c>
      <c r="D25" s="333">
        <v>6259000</v>
      </c>
      <c r="E25" s="325">
        <v>5916055.4800000004</v>
      </c>
      <c r="F25" s="440">
        <f t="shared" si="0"/>
        <v>0.94520777760025565</v>
      </c>
      <c r="G25" s="325">
        <v>3880858.52</v>
      </c>
      <c r="H25" s="413">
        <f>+G25/E25</f>
        <v>0.655987512814873</v>
      </c>
      <c r="I25" s="325">
        <v>5240316.21</v>
      </c>
      <c r="J25" s="385">
        <v>0.89777560561932501</v>
      </c>
      <c r="K25" s="326">
        <f t="shared" si="2"/>
        <v>0.1289500944066122</v>
      </c>
      <c r="L25" s="355">
        <v>34921</v>
      </c>
      <c r="M25" s="389"/>
      <c r="N25" s="389"/>
      <c r="O25" s="389"/>
    </row>
    <row r="26" spans="1:17" s="328" customFormat="1" ht="15" customHeight="1" x14ac:dyDescent="0.2">
      <c r="A26" s="322"/>
      <c r="B26" s="322" t="s">
        <v>176</v>
      </c>
      <c r="C26" s="332">
        <v>3873362.8599999994</v>
      </c>
      <c r="D26" s="333">
        <v>3873362.8599999994</v>
      </c>
      <c r="E26" s="325">
        <v>2710284.5099999984</v>
      </c>
      <c r="F26" s="440">
        <f t="shared" si="0"/>
        <v>0.69972388540948594</v>
      </c>
      <c r="G26" s="325">
        <v>2501445.9</v>
      </c>
      <c r="H26" s="413">
        <f t="shared" si="3"/>
        <v>0.92294587183395049</v>
      </c>
      <c r="I26" s="370">
        <v>4269590.6400000015</v>
      </c>
      <c r="J26" s="385">
        <v>0.52520353157587751</v>
      </c>
      <c r="K26" s="326">
        <f t="shared" si="2"/>
        <v>-0.36521209208946614</v>
      </c>
      <c r="L26" s="399" t="s">
        <v>351</v>
      </c>
      <c r="M26" s="389"/>
      <c r="N26" s="389"/>
      <c r="O26" s="389"/>
    </row>
    <row r="27" spans="1:17" s="328" customFormat="1" ht="15" customHeight="1" x14ac:dyDescent="0.2">
      <c r="A27" s="340"/>
      <c r="B27" s="340" t="s">
        <v>543</v>
      </c>
      <c r="C27" s="341">
        <v>10</v>
      </c>
      <c r="D27" s="342">
        <v>10</v>
      </c>
      <c r="E27" s="343">
        <v>0</v>
      </c>
      <c r="F27" s="421" t="s">
        <v>129</v>
      </c>
      <c r="G27" s="343">
        <v>0</v>
      </c>
      <c r="H27" s="344" t="s">
        <v>129</v>
      </c>
      <c r="I27" s="342">
        <v>90.37</v>
      </c>
      <c r="J27" s="481">
        <v>9.0370000000000008</v>
      </c>
      <c r="K27" s="345" t="s">
        <v>129</v>
      </c>
      <c r="L27" s="355">
        <v>35</v>
      </c>
      <c r="M27" s="389"/>
      <c r="N27" s="389"/>
      <c r="O27" s="389"/>
    </row>
    <row r="28" spans="1:17" s="328" customFormat="1" ht="15" customHeight="1" x14ac:dyDescent="0.2">
      <c r="A28" s="322"/>
      <c r="B28" s="322" t="s">
        <v>177</v>
      </c>
      <c r="C28" s="332">
        <v>6100000</v>
      </c>
      <c r="D28" s="333">
        <v>6100000</v>
      </c>
      <c r="E28" s="325">
        <v>7684142.9299999997</v>
      </c>
      <c r="F28" s="440">
        <f t="shared" si="0"/>
        <v>1.2596955622950818</v>
      </c>
      <c r="G28" s="325">
        <v>4747957.24</v>
      </c>
      <c r="H28" s="413">
        <f>+G28/E28</f>
        <v>0.61789028174675042</v>
      </c>
      <c r="I28" s="325">
        <v>6683646.79</v>
      </c>
      <c r="J28" s="385">
        <v>0.85098634963076136</v>
      </c>
      <c r="K28" s="326">
        <f t="shared" si="2"/>
        <v>0.1496931497781917</v>
      </c>
      <c r="L28" s="355">
        <v>36500</v>
      </c>
      <c r="M28" s="389"/>
      <c r="N28" s="389"/>
      <c r="O28" s="389"/>
    </row>
    <row r="29" spans="1:17" s="328" customFormat="1" ht="15" customHeight="1" x14ac:dyDescent="0.2">
      <c r="A29" s="337"/>
      <c r="B29" s="337" t="s">
        <v>178</v>
      </c>
      <c r="C29" s="369">
        <v>390340</v>
      </c>
      <c r="D29" s="370">
        <v>390340</v>
      </c>
      <c r="E29" s="371">
        <v>216882.94000000041</v>
      </c>
      <c r="F29" s="401">
        <f t="shared" si="0"/>
        <v>0.55562571091868729</v>
      </c>
      <c r="G29" s="338">
        <v>167652.12000000011</v>
      </c>
      <c r="H29" s="432">
        <f t="shared" si="3"/>
        <v>0.77300741127909733</v>
      </c>
      <c r="I29" s="338">
        <v>203396.29999999981</v>
      </c>
      <c r="J29" s="480">
        <v>0.52107470410411394</v>
      </c>
      <c r="K29" s="339">
        <f t="shared" si="2"/>
        <v>6.6307204211682347E-2</v>
      </c>
      <c r="L29" s="359" t="s">
        <v>180</v>
      </c>
      <c r="N29"/>
    </row>
    <row r="30" spans="1:17" s="328" customFormat="1" ht="15" customHeight="1" x14ac:dyDescent="0.2">
      <c r="A30" s="322"/>
      <c r="B30" s="322" t="s">
        <v>179</v>
      </c>
      <c r="C30" s="347">
        <v>870323.98</v>
      </c>
      <c r="D30" s="214">
        <v>870323.98</v>
      </c>
      <c r="E30" s="351">
        <v>1339878.71</v>
      </c>
      <c r="F30" s="440">
        <f t="shared" si="0"/>
        <v>1.5395171692270273</v>
      </c>
      <c r="G30" s="140">
        <v>1333878.71</v>
      </c>
      <c r="H30" s="413">
        <f t="shared" si="3"/>
        <v>0.99552198273230263</v>
      </c>
      <c r="I30" s="325">
        <v>764174.15</v>
      </c>
      <c r="J30" s="479">
        <v>0.77464895314441884</v>
      </c>
      <c r="K30" s="453">
        <f t="shared" si="2"/>
        <v>0.75336827344918689</v>
      </c>
      <c r="L30" s="330">
        <v>38</v>
      </c>
      <c r="N30"/>
    </row>
    <row r="31" spans="1:17" s="328" customFormat="1" ht="15" customHeight="1" x14ac:dyDescent="0.2">
      <c r="A31" s="322"/>
      <c r="B31" s="322" t="s">
        <v>181</v>
      </c>
      <c r="C31" s="347">
        <v>51560750.68</v>
      </c>
      <c r="D31" s="214">
        <v>51560750.68</v>
      </c>
      <c r="E31" s="351">
        <v>83910243.980000004</v>
      </c>
      <c r="F31" s="440">
        <f t="shared" si="0"/>
        <v>1.6274053979696637</v>
      </c>
      <c r="G31" s="140">
        <v>30495726.120000001</v>
      </c>
      <c r="H31" s="413">
        <f t="shared" si="3"/>
        <v>0.36343269514588294</v>
      </c>
      <c r="I31" s="325">
        <v>77359978.099999994</v>
      </c>
      <c r="J31" s="385">
        <v>1.4485453387516734</v>
      </c>
      <c r="K31" s="326">
        <f t="shared" si="2"/>
        <v>8.4672540516140815E-2</v>
      </c>
      <c r="L31" s="330">
        <v>391</v>
      </c>
      <c r="N31"/>
    </row>
    <row r="32" spans="1:17" s="328" customFormat="1" ht="15" customHeight="1" x14ac:dyDescent="0.2">
      <c r="A32" s="322"/>
      <c r="B32" s="322" t="s">
        <v>182</v>
      </c>
      <c r="C32" s="347">
        <v>10708000</v>
      </c>
      <c r="D32" s="214">
        <v>10708000</v>
      </c>
      <c r="E32" s="351">
        <v>9382197.5899999999</v>
      </c>
      <c r="F32" s="440">
        <f t="shared" si="0"/>
        <v>0.87618580407172209</v>
      </c>
      <c r="G32" s="140">
        <v>9382197.5899999999</v>
      </c>
      <c r="H32" s="413">
        <f t="shared" si="3"/>
        <v>1</v>
      </c>
      <c r="I32" s="325">
        <v>7717786.5700000003</v>
      </c>
      <c r="J32" s="385">
        <v>0.748064996607541</v>
      </c>
      <c r="K32" s="326">
        <f t="shared" si="2"/>
        <v>0.2156591148127589</v>
      </c>
      <c r="L32" s="330">
        <v>392</v>
      </c>
    </row>
    <row r="33" spans="1:18" s="328" customFormat="1" ht="15" customHeight="1" x14ac:dyDescent="0.2">
      <c r="A33" s="322"/>
      <c r="B33" s="346" t="s">
        <v>183</v>
      </c>
      <c r="C33" s="347">
        <v>7163000</v>
      </c>
      <c r="D33" s="214">
        <v>7163000</v>
      </c>
      <c r="E33" s="351">
        <v>7949433.0899999999</v>
      </c>
      <c r="F33" s="358">
        <f t="shared" si="0"/>
        <v>1.1097910219181908</v>
      </c>
      <c r="G33" s="140">
        <v>6659474.5999999996</v>
      </c>
      <c r="H33" s="413">
        <f t="shared" si="3"/>
        <v>0.83772949902267813</v>
      </c>
      <c r="I33" s="140">
        <v>7176950.9199999999</v>
      </c>
      <c r="J33" s="385">
        <v>1.1201733916029344</v>
      </c>
      <c r="K33" s="326">
        <f t="shared" si="2"/>
        <v>0.10763375402879305</v>
      </c>
      <c r="L33" s="330">
        <v>393</v>
      </c>
      <c r="N33"/>
    </row>
    <row r="34" spans="1:18" s="328" customFormat="1" ht="15" customHeight="1" x14ac:dyDescent="0.2">
      <c r="A34" s="322"/>
      <c r="B34" s="348" t="s">
        <v>361</v>
      </c>
      <c r="C34" s="347">
        <v>10</v>
      </c>
      <c r="D34" s="214">
        <v>10</v>
      </c>
      <c r="E34" s="351">
        <v>248298.69</v>
      </c>
      <c r="F34" s="358" t="s">
        <v>129</v>
      </c>
      <c r="G34" s="140">
        <v>248298.69</v>
      </c>
      <c r="H34" s="413">
        <f t="shared" si="3"/>
        <v>1</v>
      </c>
      <c r="I34" s="140">
        <v>144494.39000000001</v>
      </c>
      <c r="J34" s="385" t="s">
        <v>129</v>
      </c>
      <c r="K34" s="326" t="s">
        <v>129</v>
      </c>
      <c r="L34" s="330">
        <v>396</v>
      </c>
      <c r="N34" s="6"/>
    </row>
    <row r="35" spans="1:18" s="328" customFormat="1" ht="15" customHeight="1" x14ac:dyDescent="0.2">
      <c r="A35" s="350"/>
      <c r="B35" s="264" t="s">
        <v>417</v>
      </c>
      <c r="C35" s="347">
        <v>10</v>
      </c>
      <c r="D35" s="214">
        <v>10</v>
      </c>
      <c r="E35" s="351">
        <v>1234777.9099999999</v>
      </c>
      <c r="F35" s="358" t="s">
        <v>129</v>
      </c>
      <c r="G35" s="140">
        <v>1234777.9099999999</v>
      </c>
      <c r="H35" s="352">
        <f t="shared" si="3"/>
        <v>1</v>
      </c>
      <c r="I35" s="351">
        <v>595179.34</v>
      </c>
      <c r="J35" s="385" t="s">
        <v>129</v>
      </c>
      <c r="K35" s="326">
        <f t="shared" si="2"/>
        <v>1.0746316732029038</v>
      </c>
      <c r="L35" s="330">
        <v>397</v>
      </c>
      <c r="N35"/>
    </row>
    <row r="36" spans="1:18" s="328" customFormat="1" ht="15" customHeight="1" x14ac:dyDescent="0.2">
      <c r="A36" s="350"/>
      <c r="B36" s="285" t="s">
        <v>184</v>
      </c>
      <c r="C36" s="347">
        <v>11693727.279999999</v>
      </c>
      <c r="D36" s="214">
        <v>11844382.119999999</v>
      </c>
      <c r="E36" s="351">
        <v>12051079.369999999</v>
      </c>
      <c r="F36" s="442">
        <f t="shared" si="0"/>
        <v>1.0174510791619074</v>
      </c>
      <c r="G36" s="140">
        <v>10266422.73</v>
      </c>
      <c r="H36" s="433">
        <f t="shared" si="3"/>
        <v>0.85190897966843293</v>
      </c>
      <c r="I36" s="353">
        <v>11451699.73</v>
      </c>
      <c r="J36" s="482">
        <v>0.91950447195687379</v>
      </c>
      <c r="K36" s="354">
        <f t="shared" si="2"/>
        <v>5.2339797072202821E-2</v>
      </c>
      <c r="L36" s="330">
        <v>399</v>
      </c>
      <c r="N36"/>
    </row>
    <row r="37" spans="1:18" ht="15" customHeight="1" thickBot="1" x14ac:dyDescent="0.25">
      <c r="A37" s="9"/>
      <c r="B37" s="2" t="s">
        <v>185</v>
      </c>
      <c r="C37" s="184">
        <f>SUM(C15:C36)</f>
        <v>260080061.92000002</v>
      </c>
      <c r="D37" s="187">
        <f>SUM(D15:D36)</f>
        <v>260230716.76000002</v>
      </c>
      <c r="E37" s="192">
        <f>SUM(E15:E36)</f>
        <v>220476572.04000002</v>
      </c>
      <c r="F37" s="443">
        <f>+E37/D37</f>
        <v>0.84723500278922259</v>
      </c>
      <c r="G37" s="192">
        <f>SUM(G15:G36)</f>
        <v>139194518.13999999</v>
      </c>
      <c r="H37" s="193">
        <f t="shared" si="3"/>
        <v>0.63133473480686453</v>
      </c>
      <c r="I37" s="169">
        <f>+SUM(I15:I36)</f>
        <v>198673981.63999996</v>
      </c>
      <c r="J37" s="44">
        <v>0.73799999999999999</v>
      </c>
      <c r="K37" s="205">
        <f t="shared" si="2"/>
        <v>0.10974054186675875</v>
      </c>
    </row>
    <row r="38" spans="1:18" s="549" customFormat="1" ht="15" customHeight="1" x14ac:dyDescent="0.2">
      <c r="A38" s="547"/>
      <c r="B38" s="542"/>
      <c r="C38" s="548"/>
      <c r="D38" s="548"/>
      <c r="E38" s="548"/>
      <c r="F38" s="544"/>
      <c r="G38" s="548"/>
      <c r="H38" s="544"/>
      <c r="I38" s="548"/>
      <c r="J38" s="544"/>
      <c r="K38" s="544"/>
      <c r="L38" s="137"/>
    </row>
    <row r="39" spans="1:18" ht="15.75" thickBot="1" x14ac:dyDescent="0.3">
      <c r="A39" s="7" t="s">
        <v>228</v>
      </c>
    </row>
    <row r="40" spans="1:18" x14ac:dyDescent="0.2">
      <c r="A40" s="8" t="s">
        <v>290</v>
      </c>
      <c r="C40" s="181" t="s">
        <v>479</v>
      </c>
      <c r="D40" s="595" t="s">
        <v>551</v>
      </c>
      <c r="E40" s="593"/>
      <c r="F40" s="593"/>
      <c r="G40" s="593"/>
      <c r="H40" s="594"/>
      <c r="I40" s="591" t="s">
        <v>552</v>
      </c>
      <c r="J40" s="590"/>
      <c r="K40" s="224"/>
    </row>
    <row r="41" spans="1:18" x14ac:dyDescent="0.2">
      <c r="C41" s="174">
        <v>1</v>
      </c>
      <c r="D41" s="165">
        <v>2</v>
      </c>
      <c r="E41" s="95">
        <v>3</v>
      </c>
      <c r="F41" s="96" t="s">
        <v>36</v>
      </c>
      <c r="G41" s="95">
        <v>4</v>
      </c>
      <c r="H41" s="166" t="s">
        <v>46</v>
      </c>
      <c r="I41" s="95" t="s">
        <v>47</v>
      </c>
      <c r="J41" s="16" t="s">
        <v>48</v>
      </c>
      <c r="K41" s="156" t="s">
        <v>360</v>
      </c>
    </row>
    <row r="42" spans="1:18" ht="25.5" x14ac:dyDescent="0.2">
      <c r="A42" s="1"/>
      <c r="B42" s="2" t="s">
        <v>150</v>
      </c>
      <c r="C42" s="175" t="s">
        <v>44</v>
      </c>
      <c r="D42" s="127" t="s">
        <v>45</v>
      </c>
      <c r="E42" s="97" t="s">
        <v>133</v>
      </c>
      <c r="F42" s="97" t="s">
        <v>18</v>
      </c>
      <c r="G42" s="97" t="s">
        <v>415</v>
      </c>
      <c r="H42" s="128" t="s">
        <v>18</v>
      </c>
      <c r="I42" s="97" t="s">
        <v>133</v>
      </c>
      <c r="J42" s="12" t="s">
        <v>18</v>
      </c>
      <c r="K42" s="157" t="s">
        <v>516</v>
      </c>
      <c r="L42" s="62" t="s">
        <v>163</v>
      </c>
    </row>
    <row r="43" spans="1:18" s="328" customFormat="1" ht="15" customHeight="1" x14ac:dyDescent="0.2">
      <c r="A43" s="337"/>
      <c r="B43" s="337" t="s">
        <v>187</v>
      </c>
      <c r="C43" s="573">
        <v>6038467.5799999982</v>
      </c>
      <c r="D43" s="338">
        <v>6038467.5799999982</v>
      </c>
      <c r="E43" s="338">
        <v>6483567.9799999297</v>
      </c>
      <c r="F43" s="401">
        <f t="shared" ref="F43:F59" si="5">+E43/D43</f>
        <v>1.0737108205191244</v>
      </c>
      <c r="G43" s="435">
        <v>6067727.150000006</v>
      </c>
      <c r="H43" s="555">
        <f>G43/E43</f>
        <v>0.93586234750947606</v>
      </c>
      <c r="I43" s="338">
        <v>4882967.5700000226</v>
      </c>
      <c r="J43" s="480">
        <v>0.86125093396433183</v>
      </c>
      <c r="K43" s="454">
        <f t="shared" ref="K43:K44" si="6">+E43/I43-1</f>
        <v>0.32779255382191685</v>
      </c>
      <c r="L43" s="327" t="s">
        <v>188</v>
      </c>
      <c r="N43"/>
      <c r="O43"/>
      <c r="P43"/>
      <c r="Q43"/>
      <c r="R43"/>
    </row>
    <row r="44" spans="1:18" s="328" customFormat="1" ht="15" customHeight="1" x14ac:dyDescent="0.2">
      <c r="A44" s="337"/>
      <c r="B44" s="337" t="s">
        <v>189</v>
      </c>
      <c r="C44" s="341">
        <v>170</v>
      </c>
      <c r="D44" s="338">
        <v>216186</v>
      </c>
      <c r="E44" s="338">
        <v>456330.28</v>
      </c>
      <c r="F44" s="401">
        <f t="shared" si="5"/>
        <v>2.11082253244891</v>
      </c>
      <c r="G44" s="338">
        <v>456330.28</v>
      </c>
      <c r="H44" s="362">
        <f>G44/E44</f>
        <v>1</v>
      </c>
      <c r="I44" s="338">
        <v>931862.64</v>
      </c>
      <c r="J44" s="480">
        <v>1.9295116717256173</v>
      </c>
      <c r="K44" s="454">
        <f t="shared" si="6"/>
        <v>-0.51030306355022448</v>
      </c>
      <c r="L44" s="327" t="s">
        <v>201</v>
      </c>
      <c r="N44"/>
      <c r="O44"/>
      <c r="P44"/>
      <c r="Q44"/>
      <c r="R44"/>
    </row>
    <row r="45" spans="1:18" s="328" customFormat="1" ht="15" customHeight="1" x14ac:dyDescent="0.2">
      <c r="A45" s="322"/>
      <c r="B45" s="322" t="s">
        <v>190</v>
      </c>
      <c r="C45" s="436">
        <v>3390000</v>
      </c>
      <c r="D45" s="325">
        <v>3390000</v>
      </c>
      <c r="E45" s="325">
        <v>7603681.0099999998</v>
      </c>
      <c r="F45" s="440">
        <f t="shared" si="5"/>
        <v>2.242973749262537</v>
      </c>
      <c r="G45" s="325">
        <v>0</v>
      </c>
      <c r="H45" s="356" t="s">
        <v>129</v>
      </c>
      <c r="I45" s="325">
        <v>0</v>
      </c>
      <c r="J45" s="385">
        <v>0</v>
      </c>
      <c r="K45" s="454" t="s">
        <v>129</v>
      </c>
      <c r="L45" s="330">
        <v>45010</v>
      </c>
      <c r="M45" s="372"/>
      <c r="N45"/>
      <c r="O45"/>
      <c r="P45"/>
      <c r="Q45"/>
      <c r="R45"/>
    </row>
    <row r="46" spans="1:18" s="328" customFormat="1" ht="15" customHeight="1" x14ac:dyDescent="0.2">
      <c r="A46" s="322"/>
      <c r="B46" s="322" t="s">
        <v>191</v>
      </c>
      <c r="C46" s="347">
        <v>1214040</v>
      </c>
      <c r="D46" s="325">
        <v>1214040</v>
      </c>
      <c r="E46" s="325">
        <v>1214040</v>
      </c>
      <c r="F46" s="440">
        <f t="shared" si="5"/>
        <v>1</v>
      </c>
      <c r="G46" s="325">
        <v>0</v>
      </c>
      <c r="H46" s="356" t="s">
        <v>129</v>
      </c>
      <c r="I46" s="325">
        <v>1200450</v>
      </c>
      <c r="J46" s="385">
        <v>0.15121902982747967</v>
      </c>
      <c r="K46" s="454" t="s">
        <v>129</v>
      </c>
      <c r="L46" s="330">
        <v>45030</v>
      </c>
      <c r="M46" s="372"/>
      <c r="N46"/>
      <c r="O46"/>
      <c r="P46"/>
      <c r="Q46"/>
      <c r="R46"/>
    </row>
    <row r="47" spans="1:18" s="328" customFormat="1" ht="15" customHeight="1" x14ac:dyDescent="0.2">
      <c r="A47" s="322"/>
      <c r="B47" s="346" t="s">
        <v>192</v>
      </c>
      <c r="C47" s="347">
        <v>2404294</v>
      </c>
      <c r="D47" s="325">
        <v>2404294</v>
      </c>
      <c r="E47" s="140">
        <v>1509349.34</v>
      </c>
      <c r="F47" s="440">
        <f t="shared" si="5"/>
        <v>0.62777236893657773</v>
      </c>
      <c r="G47" s="140">
        <v>0</v>
      </c>
      <c r="H47" s="356" t="s">
        <v>129</v>
      </c>
      <c r="I47" s="140">
        <v>0</v>
      </c>
      <c r="J47" s="374">
        <v>0</v>
      </c>
      <c r="K47" s="454" t="s">
        <v>129</v>
      </c>
      <c r="L47" s="355">
        <v>45043</v>
      </c>
      <c r="M47" s="353"/>
      <c r="N47"/>
      <c r="O47"/>
      <c r="P47"/>
      <c r="Q47"/>
      <c r="R47"/>
    </row>
    <row r="48" spans="1:18" s="328" customFormat="1" ht="15" customHeight="1" x14ac:dyDescent="0.2">
      <c r="A48" s="322"/>
      <c r="B48" s="346" t="s">
        <v>193</v>
      </c>
      <c r="C48" s="347">
        <v>44997477</v>
      </c>
      <c r="D48" s="325">
        <v>44997477</v>
      </c>
      <c r="E48" s="140">
        <v>60500925.230000004</v>
      </c>
      <c r="F48" s="358">
        <f t="shared" si="5"/>
        <v>1.3445403890089216</v>
      </c>
      <c r="G48" s="140">
        <v>9351530.0500000007</v>
      </c>
      <c r="H48" s="356">
        <f t="shared" si="3"/>
        <v>0.15456838080490956</v>
      </c>
      <c r="I48" s="140">
        <v>6272115.1699999999</v>
      </c>
      <c r="J48" s="374">
        <v>0.14255624184647733</v>
      </c>
      <c r="K48" s="454">
        <f>+E48/I48-1</f>
        <v>8.646016310315936</v>
      </c>
      <c r="L48" s="357" t="s">
        <v>428</v>
      </c>
      <c r="M48" s="353"/>
      <c r="N48"/>
      <c r="O48"/>
      <c r="P48"/>
      <c r="Q48"/>
      <c r="R48"/>
    </row>
    <row r="49" spans="1:18" s="328" customFormat="1" ht="15" customHeight="1" x14ac:dyDescent="0.2">
      <c r="A49" s="322"/>
      <c r="B49" s="346" t="s">
        <v>419</v>
      </c>
      <c r="C49" s="347"/>
      <c r="D49" s="325"/>
      <c r="E49" s="140"/>
      <c r="F49" s="358" t="s">
        <v>129</v>
      </c>
      <c r="G49" s="140"/>
      <c r="H49" s="356" t="s">
        <v>129</v>
      </c>
      <c r="I49" s="140"/>
      <c r="J49" s="374" t="s">
        <v>129</v>
      </c>
      <c r="K49" s="454" t="s">
        <v>129</v>
      </c>
      <c r="L49" s="359">
        <v>45050</v>
      </c>
      <c r="M49" s="353"/>
      <c r="N49"/>
      <c r="O49"/>
      <c r="P49"/>
      <c r="Q49"/>
      <c r="R49"/>
    </row>
    <row r="50" spans="1:18" s="328" customFormat="1" ht="15" customHeight="1" x14ac:dyDescent="0.2">
      <c r="A50" s="322"/>
      <c r="B50" s="346" t="s">
        <v>202</v>
      </c>
      <c r="C50" s="347">
        <v>20</v>
      </c>
      <c r="D50" s="140">
        <v>20</v>
      </c>
      <c r="E50" s="140">
        <v>0</v>
      </c>
      <c r="F50" s="358" t="s">
        <v>129</v>
      </c>
      <c r="G50" s="140">
        <v>0</v>
      </c>
      <c r="H50" s="356" t="s">
        <v>129</v>
      </c>
      <c r="I50" s="140">
        <v>6610609.5300000003</v>
      </c>
      <c r="J50" s="374">
        <v>0.99999848728247709</v>
      </c>
      <c r="K50" s="454">
        <f t="shared" ref="K50:K59" si="7">+E50/I50-1</f>
        <v>-1</v>
      </c>
      <c r="L50" s="359">
        <v>45051</v>
      </c>
      <c r="M50" s="353"/>
      <c r="N50"/>
      <c r="O50"/>
      <c r="P50"/>
      <c r="Q50"/>
      <c r="R50"/>
    </row>
    <row r="51" spans="1:18" s="328" customFormat="1" ht="15" customHeight="1" x14ac:dyDescent="0.2">
      <c r="A51" s="322"/>
      <c r="B51" s="346" t="s">
        <v>194</v>
      </c>
      <c r="C51" s="347">
        <v>550701.15</v>
      </c>
      <c r="D51" s="140">
        <v>983286.98</v>
      </c>
      <c r="E51" s="140">
        <v>347623.78</v>
      </c>
      <c r="F51" s="358">
        <f t="shared" si="5"/>
        <v>0.35353237363114481</v>
      </c>
      <c r="G51" s="140">
        <v>0</v>
      </c>
      <c r="H51" s="356" t="s">
        <v>129</v>
      </c>
      <c r="I51" s="140"/>
      <c r="J51" s="374">
        <v>0</v>
      </c>
      <c r="K51" s="454" t="s">
        <v>129</v>
      </c>
      <c r="L51" s="355">
        <v>45070</v>
      </c>
      <c r="M51" s="353"/>
      <c r="N51"/>
      <c r="O51"/>
      <c r="P51"/>
      <c r="Q51"/>
      <c r="R51"/>
    </row>
    <row r="52" spans="1:18" s="328" customFormat="1" ht="15" customHeight="1" x14ac:dyDescent="0.2">
      <c r="A52" s="360"/>
      <c r="B52" s="478" t="s">
        <v>195</v>
      </c>
      <c r="C52" s="347">
        <v>386494.99999999849</v>
      </c>
      <c r="D52" s="140">
        <v>5171571.74</v>
      </c>
      <c r="E52" s="361">
        <v>7991173.5199999996</v>
      </c>
      <c r="F52" s="444">
        <f t="shared" si="5"/>
        <v>1.5452117696041086</v>
      </c>
      <c r="G52" s="140">
        <v>7654239.8999999994</v>
      </c>
      <c r="H52" s="437">
        <f>G52/E52</f>
        <v>0.95783677839597203</v>
      </c>
      <c r="I52" s="361">
        <v>4766208.6900000013</v>
      </c>
      <c r="J52" s="374">
        <v>0.78170065587159998</v>
      </c>
      <c r="K52" s="454" t="s">
        <v>129</v>
      </c>
      <c r="L52" s="359" t="s">
        <v>203</v>
      </c>
      <c r="M52" s="389"/>
      <c r="N52"/>
      <c r="O52"/>
      <c r="P52"/>
      <c r="Q52"/>
      <c r="R52"/>
    </row>
    <row r="53" spans="1:18" s="328" customFormat="1" ht="15" customHeight="1" x14ac:dyDescent="0.2">
      <c r="A53" s="340"/>
      <c r="B53" s="340" t="s">
        <v>196</v>
      </c>
      <c r="C53" s="341">
        <v>70</v>
      </c>
      <c r="D53" s="342">
        <v>75351</v>
      </c>
      <c r="E53" s="140">
        <v>103541</v>
      </c>
      <c r="F53" s="444">
        <f t="shared" si="5"/>
        <v>1.3741158047006676</v>
      </c>
      <c r="G53" s="343">
        <v>103541</v>
      </c>
      <c r="H53" s="437">
        <f>G53/E53</f>
        <v>1</v>
      </c>
      <c r="I53" s="343">
        <v>100000</v>
      </c>
      <c r="J53" s="481" t="s">
        <v>129</v>
      </c>
      <c r="K53" s="454">
        <f t="shared" si="7"/>
        <v>3.5409999999999942E-2</v>
      </c>
      <c r="L53" s="330">
        <v>461</v>
      </c>
      <c r="M53" s="389"/>
      <c r="N53"/>
      <c r="O53"/>
      <c r="P53"/>
      <c r="Q53"/>
      <c r="R53"/>
    </row>
    <row r="54" spans="1:18" s="328" customFormat="1" ht="15" customHeight="1" x14ac:dyDescent="0.2">
      <c r="A54" s="350"/>
      <c r="B54" s="363" t="s">
        <v>410</v>
      </c>
      <c r="C54" s="364">
        <v>10</v>
      </c>
      <c r="D54" s="365">
        <v>10</v>
      </c>
      <c r="E54" s="366">
        <v>0</v>
      </c>
      <c r="F54" s="445" t="s">
        <v>129</v>
      </c>
      <c r="G54" s="366">
        <v>0</v>
      </c>
      <c r="H54" s="367" t="s">
        <v>129</v>
      </c>
      <c r="I54" s="366">
        <v>0</v>
      </c>
      <c r="J54" s="386">
        <v>0</v>
      </c>
      <c r="K54" s="454" t="s">
        <v>129</v>
      </c>
      <c r="L54" s="330">
        <v>462</v>
      </c>
      <c r="N54"/>
      <c r="O54"/>
      <c r="P54"/>
      <c r="Q54"/>
      <c r="R54"/>
    </row>
    <row r="55" spans="1:18" s="328" customFormat="1" ht="15" customHeight="1" x14ac:dyDescent="0.2">
      <c r="A55" s="322"/>
      <c r="B55" s="322" t="s">
        <v>420</v>
      </c>
      <c r="C55" s="323">
        <v>0</v>
      </c>
      <c r="D55" s="324"/>
      <c r="E55" s="325"/>
      <c r="F55" s="440" t="s">
        <v>129</v>
      </c>
      <c r="G55" s="325"/>
      <c r="H55" s="368" t="s">
        <v>129</v>
      </c>
      <c r="I55" s="325">
        <v>0</v>
      </c>
      <c r="J55" s="385">
        <v>0</v>
      </c>
      <c r="K55" s="454" t="s">
        <v>129</v>
      </c>
      <c r="L55" s="330">
        <v>46403</v>
      </c>
      <c r="N55"/>
      <c r="O55"/>
      <c r="P55"/>
      <c r="Q55"/>
      <c r="R55"/>
    </row>
    <row r="56" spans="1:18" s="328" customFormat="1" ht="15" customHeight="1" x14ac:dyDescent="0.2">
      <c r="A56" s="322"/>
      <c r="B56" s="322" t="s">
        <v>199</v>
      </c>
      <c r="C56" s="347">
        <v>56078421</v>
      </c>
      <c r="D56" s="140">
        <v>56078421</v>
      </c>
      <c r="E56" s="325">
        <v>54606270.490000002</v>
      </c>
      <c r="F56" s="440">
        <f t="shared" si="5"/>
        <v>0.97374836017583311</v>
      </c>
      <c r="G56" s="325">
        <v>49306630.149999999</v>
      </c>
      <c r="H56" s="413">
        <f>+G56/E56</f>
        <v>0.90294813594767431</v>
      </c>
      <c r="I56" s="325">
        <v>41662141.130000003</v>
      </c>
      <c r="J56" s="385">
        <v>0.74292643029303562</v>
      </c>
      <c r="K56" s="454">
        <f t="shared" si="7"/>
        <v>0.3106928498852215</v>
      </c>
      <c r="L56" s="330">
        <v>46401</v>
      </c>
      <c r="N56"/>
      <c r="O56"/>
      <c r="P56"/>
      <c r="Q56"/>
      <c r="R56"/>
    </row>
    <row r="57" spans="1:18" s="328" customFormat="1" ht="15" customHeight="1" x14ac:dyDescent="0.2">
      <c r="A57" s="360"/>
      <c r="B57" s="360" t="s">
        <v>200</v>
      </c>
      <c r="C57" s="347">
        <v>448000</v>
      </c>
      <c r="D57" s="140">
        <v>448000</v>
      </c>
      <c r="E57" s="371">
        <v>300118.23</v>
      </c>
      <c r="F57" s="446">
        <f t="shared" si="5"/>
        <v>0.66990676339285715</v>
      </c>
      <c r="G57" s="371">
        <v>300118.23</v>
      </c>
      <c r="H57" s="413">
        <f>+G57/E57</f>
        <v>1</v>
      </c>
      <c r="I57" s="371">
        <v>341833</v>
      </c>
      <c r="J57" s="483">
        <v>0.22788866666666666</v>
      </c>
      <c r="K57" s="454">
        <f t="shared" si="7"/>
        <v>-0.12203260071438393</v>
      </c>
      <c r="L57" s="330">
        <v>46402</v>
      </c>
      <c r="N57"/>
    </row>
    <row r="58" spans="1:18" s="328" customFormat="1" ht="15" customHeight="1" x14ac:dyDescent="0.2">
      <c r="A58" s="340"/>
      <c r="B58" s="340" t="s">
        <v>197</v>
      </c>
      <c r="C58" s="341">
        <v>590384</v>
      </c>
      <c r="D58" s="342">
        <v>2264999.1</v>
      </c>
      <c r="E58" s="343">
        <v>993107</v>
      </c>
      <c r="F58" s="421">
        <f t="shared" si="5"/>
        <v>0.43845801086631775</v>
      </c>
      <c r="G58" s="343">
        <v>993107</v>
      </c>
      <c r="H58" s="414">
        <f>+G58/E58</f>
        <v>1</v>
      </c>
      <c r="I58" s="343">
        <v>856653.78</v>
      </c>
      <c r="J58" s="481">
        <v>0.23136106536297335</v>
      </c>
      <c r="K58" s="454">
        <f t="shared" si="7"/>
        <v>0.1592863105092468</v>
      </c>
      <c r="L58" s="330">
        <v>49</v>
      </c>
      <c r="N58"/>
    </row>
    <row r="59" spans="1:18" s="328" customFormat="1" ht="15" customHeight="1" x14ac:dyDescent="0.2">
      <c r="A59" s="350"/>
      <c r="B59" s="350" t="s">
        <v>198</v>
      </c>
      <c r="C59" s="469">
        <v>110048.3</v>
      </c>
      <c r="D59" s="469">
        <v>172350.69</v>
      </c>
      <c r="E59" s="372">
        <v>420960.78</v>
      </c>
      <c r="F59" s="447">
        <f t="shared" si="5"/>
        <v>2.4424664618401009</v>
      </c>
      <c r="G59" s="372">
        <v>420960.78</v>
      </c>
      <c r="H59" s="415">
        <f>G59/E59</f>
        <v>1</v>
      </c>
      <c r="I59" s="372">
        <v>232317.06</v>
      </c>
      <c r="J59" s="482">
        <v>0.95936149125777381</v>
      </c>
      <c r="K59" s="454">
        <f t="shared" si="7"/>
        <v>0.81200975942102582</v>
      </c>
      <c r="L59" s="330" t="s">
        <v>555</v>
      </c>
      <c r="N59"/>
    </row>
    <row r="60" spans="1:18" ht="15" customHeight="1" x14ac:dyDescent="0.2">
      <c r="A60" s="9"/>
      <c r="B60" s="2" t="s">
        <v>204</v>
      </c>
      <c r="C60" s="179">
        <f>SUM(C43:C59)</f>
        <v>116208598.02999999</v>
      </c>
      <c r="D60" s="169">
        <f>SUM(D43:D59)</f>
        <v>123454475.08999999</v>
      </c>
      <c r="E60" s="92">
        <f>SUM(E43:E59)</f>
        <v>142530688.63999993</v>
      </c>
      <c r="F60" s="98">
        <f t="shared" si="0"/>
        <v>1.1545202272829165</v>
      </c>
      <c r="G60" s="92">
        <f>SUM(G43:G59)</f>
        <v>74654184.540000007</v>
      </c>
      <c r="H60" s="188">
        <f t="shared" si="3"/>
        <v>0.52377621445834366</v>
      </c>
      <c r="I60" s="92">
        <f>SUM(I43:I59)</f>
        <v>67857158.570000023</v>
      </c>
      <c r="J60" s="44">
        <v>0.48699999999999999</v>
      </c>
      <c r="K60" s="161">
        <f t="shared" si="2"/>
        <v>1.1004517672659144</v>
      </c>
      <c r="O60" s="328"/>
    </row>
    <row r="61" spans="1:18" s="328" customFormat="1" ht="15" customHeight="1" x14ac:dyDescent="0.2">
      <c r="A61" s="322"/>
      <c r="B61" s="322" t="s">
        <v>206</v>
      </c>
      <c r="C61" s="323">
        <v>3700000</v>
      </c>
      <c r="D61" s="324">
        <v>3700000</v>
      </c>
      <c r="E61" s="325">
        <v>6138384</v>
      </c>
      <c r="F61" s="440">
        <f t="shared" ref="F61:F65" si="8">+E61/D61</f>
        <v>1.6590227027027027</v>
      </c>
      <c r="G61" s="325">
        <v>6138384</v>
      </c>
      <c r="H61" s="413">
        <f t="shared" ref="H61:H65" si="9">+G61/E61</f>
        <v>1</v>
      </c>
      <c r="I61" s="325">
        <v>5257633.17</v>
      </c>
      <c r="J61" s="385">
        <v>2.4363340160610933</v>
      </c>
      <c r="K61" s="326">
        <f t="shared" si="2"/>
        <v>0.16751850148571701</v>
      </c>
      <c r="L61" s="330" t="s">
        <v>207</v>
      </c>
      <c r="N61"/>
    </row>
    <row r="62" spans="1:18" s="328" customFormat="1" ht="15" customHeight="1" x14ac:dyDescent="0.2">
      <c r="A62" s="322"/>
      <c r="B62" s="322" t="s">
        <v>208</v>
      </c>
      <c r="C62" s="323">
        <v>2021540</v>
      </c>
      <c r="D62" s="324">
        <v>2021540</v>
      </c>
      <c r="E62" s="325">
        <v>1766667.48</v>
      </c>
      <c r="F62" s="440">
        <f t="shared" si="8"/>
        <v>0.87392160432145793</v>
      </c>
      <c r="G62" s="325">
        <v>651598.51</v>
      </c>
      <c r="H62" s="413">
        <f t="shared" si="9"/>
        <v>0.36882917548241734</v>
      </c>
      <c r="I62" s="325">
        <v>2654506.1800000002</v>
      </c>
      <c r="J62" s="385">
        <v>1.1818711231422696</v>
      </c>
      <c r="K62" s="326">
        <f t="shared" si="2"/>
        <v>-0.33446473272102162</v>
      </c>
      <c r="L62" s="330">
        <v>54</v>
      </c>
      <c r="N62"/>
    </row>
    <row r="63" spans="1:18" s="328" customFormat="1" ht="15" customHeight="1" x14ac:dyDescent="0.2">
      <c r="A63" s="322"/>
      <c r="B63" s="322" t="s">
        <v>209</v>
      </c>
      <c r="C63" s="323">
        <v>3056000</v>
      </c>
      <c r="D63" s="324">
        <v>3056000</v>
      </c>
      <c r="E63" s="325">
        <v>2128537.9700000002</v>
      </c>
      <c r="F63" s="440">
        <f t="shared" si="8"/>
        <v>0.69651111583769643</v>
      </c>
      <c r="G63" s="325">
        <v>2008784.21</v>
      </c>
      <c r="H63" s="413">
        <f t="shared" si="9"/>
        <v>0.94373895993971857</v>
      </c>
      <c r="I63" s="325">
        <v>3664308.56</v>
      </c>
      <c r="J63" s="385">
        <v>0.95574036515388627</v>
      </c>
      <c r="K63" s="326">
        <f t="shared" si="2"/>
        <v>-0.41911606647012278</v>
      </c>
      <c r="L63" s="330">
        <v>55000</v>
      </c>
      <c r="N63"/>
    </row>
    <row r="64" spans="1:18" s="328" customFormat="1" ht="15" customHeight="1" x14ac:dyDescent="0.2">
      <c r="A64" s="322"/>
      <c r="B64" s="322" t="s">
        <v>210</v>
      </c>
      <c r="C64" s="323">
        <v>30692029</v>
      </c>
      <c r="D64" s="324">
        <v>30692029</v>
      </c>
      <c r="E64" s="325">
        <v>12285090.91</v>
      </c>
      <c r="F64" s="440">
        <f t="shared" si="8"/>
        <v>0.40026975440431128</v>
      </c>
      <c r="G64" s="325">
        <v>7326421.1799999997</v>
      </c>
      <c r="H64" s="413">
        <f t="shared" si="9"/>
        <v>0.59636686725991839</v>
      </c>
      <c r="I64" s="325">
        <v>10532781.079999998</v>
      </c>
      <c r="J64" s="385">
        <v>0.52047938862735066</v>
      </c>
      <c r="K64" s="326">
        <f t="shared" si="2"/>
        <v>0.16636725065209479</v>
      </c>
      <c r="L64" s="330" t="s">
        <v>418</v>
      </c>
      <c r="N64"/>
    </row>
    <row r="65" spans="1:14" s="328" customFormat="1" ht="15" customHeight="1" x14ac:dyDescent="0.2">
      <c r="A65" s="322"/>
      <c r="B65" s="322" t="s">
        <v>211</v>
      </c>
      <c r="C65" s="323">
        <v>2666040</v>
      </c>
      <c r="D65" s="324">
        <v>2666040</v>
      </c>
      <c r="E65" s="325">
        <v>10904392.43</v>
      </c>
      <c r="F65" s="440">
        <f t="shared" si="8"/>
        <v>4.0901083367091262</v>
      </c>
      <c r="G65" s="325">
        <v>10525286.689999999</v>
      </c>
      <c r="H65" s="413">
        <f t="shared" si="9"/>
        <v>0.96523366685180823</v>
      </c>
      <c r="I65" s="325">
        <v>2279631.9900000002</v>
      </c>
      <c r="J65" s="385">
        <v>0.86414507471512736</v>
      </c>
      <c r="K65" s="326">
        <f t="shared" si="2"/>
        <v>3.7834003373500646</v>
      </c>
      <c r="L65" s="330" t="s">
        <v>212</v>
      </c>
      <c r="N65"/>
    </row>
    <row r="66" spans="1:14" s="328" customFormat="1" ht="15" customHeight="1" x14ac:dyDescent="0.2">
      <c r="A66" s="322"/>
      <c r="B66" s="322" t="s">
        <v>213</v>
      </c>
      <c r="C66" s="323">
        <v>20</v>
      </c>
      <c r="D66" s="324">
        <v>20</v>
      </c>
      <c r="E66" s="325">
        <v>0</v>
      </c>
      <c r="F66" s="440" t="s">
        <v>129</v>
      </c>
      <c r="G66" s="325">
        <v>0</v>
      </c>
      <c r="H66" s="413" t="s">
        <v>129</v>
      </c>
      <c r="I66" s="325">
        <v>188085.85</v>
      </c>
      <c r="J66" s="385" t="s">
        <v>129</v>
      </c>
      <c r="K66" s="326" t="s">
        <v>129</v>
      </c>
      <c r="L66" s="327" t="s">
        <v>214</v>
      </c>
    </row>
    <row r="67" spans="1:14" ht="15" customHeight="1" thickBot="1" x14ac:dyDescent="0.25">
      <c r="A67" s="9"/>
      <c r="B67" s="2" t="s">
        <v>42</v>
      </c>
      <c r="C67" s="179">
        <f>SUM(C61:C66)</f>
        <v>42135629</v>
      </c>
      <c r="D67" s="169">
        <f>SUM(D61:D66)</f>
        <v>42135629</v>
      </c>
      <c r="E67" s="92">
        <f>SUM(E61:E66)</f>
        <v>33223072.789999999</v>
      </c>
      <c r="F67" s="98">
        <f t="shared" si="0"/>
        <v>0.78847933633552736</v>
      </c>
      <c r="G67" s="92">
        <f>SUM(G61:G66)</f>
        <v>26650474.589999996</v>
      </c>
      <c r="H67" s="188">
        <f t="shared" si="3"/>
        <v>0.80216766096427039</v>
      </c>
      <c r="I67" s="92">
        <f>SUM(I61:I66)</f>
        <v>24576946.829999998</v>
      </c>
      <c r="J67" s="44">
        <v>0.79</v>
      </c>
      <c r="K67" s="161">
        <f>+E67/I67-1</f>
        <v>0.3517982123575274</v>
      </c>
    </row>
    <row r="68" spans="1:14" s="6" customFormat="1" ht="19.5" customHeight="1" thickBot="1" x14ac:dyDescent="0.25">
      <c r="A68" s="5"/>
      <c r="B68" s="4" t="s">
        <v>205</v>
      </c>
      <c r="C68" s="180">
        <f>+C11+C14+C37+C60+C67</f>
        <v>2354409500.5</v>
      </c>
      <c r="D68" s="171">
        <f>+D11+D14+D37+D60+D67</f>
        <v>2364620332.4000001</v>
      </c>
      <c r="E68" s="172">
        <f>+E11+E14+E37+E60+E67</f>
        <v>2196107911.3299999</v>
      </c>
      <c r="F68" s="199">
        <f t="shared" si="0"/>
        <v>0.92873595022378652</v>
      </c>
      <c r="G68" s="172">
        <f>+G11+G14+G37+G60+G67</f>
        <v>1882190172.9299996</v>
      </c>
      <c r="H68" s="191">
        <f t="shared" si="3"/>
        <v>0.85705723440070558</v>
      </c>
      <c r="I68" s="164">
        <f>I11+I14+I37+I60+I67</f>
        <v>1995512919.5099995</v>
      </c>
      <c r="J68" s="208">
        <v>0.85899999999999999</v>
      </c>
      <c r="K68" s="163">
        <f t="shared" si="2"/>
        <v>0.10052302335845398</v>
      </c>
      <c r="L68" s="14"/>
    </row>
    <row r="69" spans="1:14" x14ac:dyDescent="0.2">
      <c r="D69" s="47"/>
      <c r="F69" s="448"/>
    </row>
    <row r="72" spans="1:14" x14ac:dyDescent="0.2">
      <c r="B72" s="294"/>
    </row>
    <row r="73" spans="1:14" x14ac:dyDescent="0.2">
      <c r="E73" s="47"/>
    </row>
    <row r="74" spans="1:14" x14ac:dyDescent="0.2">
      <c r="E74" s="47"/>
    </row>
    <row r="75" spans="1:14" x14ac:dyDescent="0.2">
      <c r="E75" s="294"/>
    </row>
    <row r="76" spans="1:14" x14ac:dyDescent="0.2">
      <c r="E76" s="47"/>
    </row>
    <row r="77" spans="1:14" x14ac:dyDescent="0.2">
      <c r="E77" s="47"/>
    </row>
    <row r="78" spans="1:14" x14ac:dyDescent="0.2">
      <c r="C78" s="47"/>
    </row>
    <row r="80" spans="1:14" x14ac:dyDescent="0.2">
      <c r="C80" s="294"/>
      <c r="E80" s="47"/>
    </row>
    <row r="81" spans="5:5" x14ac:dyDescent="0.2">
      <c r="E81" s="47"/>
    </row>
    <row r="82" spans="5:5" x14ac:dyDescent="0.2">
      <c r="E82" s="47"/>
    </row>
    <row r="83" spans="5:5" x14ac:dyDescent="0.2">
      <c r="E83" s="294"/>
    </row>
  </sheetData>
  <mergeCells count="4">
    <mergeCell ref="I2:J2"/>
    <mergeCell ref="I40:J40"/>
    <mergeCell ref="D2:H2"/>
    <mergeCell ref="D40:H4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rowBreaks count="1" manualBreakCount="1">
    <brk id="38" max="1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M15"/>
  <sheetViews>
    <sheetView workbookViewId="0">
      <selection activeCell="L35" sqref="L35"/>
    </sheetView>
  </sheetViews>
  <sheetFormatPr defaultColWidth="11.42578125" defaultRowHeight="12.75" x14ac:dyDescent="0.2"/>
  <cols>
    <col min="1" max="1" width="23" customWidth="1"/>
    <col min="2" max="2" width="11.42578125" style="47" bestFit="1" customWidth="1"/>
    <col min="3" max="3" width="13.28515625" style="47" bestFit="1" customWidth="1"/>
    <col min="5" max="5" width="2.42578125" bestFit="1" customWidth="1"/>
    <col min="7" max="7" width="2.42578125" bestFit="1" customWidth="1"/>
    <col min="9" max="9" width="2.42578125" bestFit="1" customWidth="1"/>
  </cols>
  <sheetData>
    <row r="1" spans="1:13" ht="15" x14ac:dyDescent="0.25">
      <c r="A1" s="7" t="s">
        <v>134</v>
      </c>
    </row>
    <row r="3" spans="1:13" ht="25.5" x14ac:dyDescent="0.2">
      <c r="A3" s="2" t="s">
        <v>147</v>
      </c>
      <c r="B3" s="48" t="s">
        <v>13</v>
      </c>
      <c r="C3" s="48" t="s">
        <v>14</v>
      </c>
      <c r="D3" s="48" t="s">
        <v>15</v>
      </c>
      <c r="E3" s="48" t="s">
        <v>18</v>
      </c>
      <c r="F3" s="48" t="s">
        <v>16</v>
      </c>
      <c r="G3" s="48" t="s">
        <v>18</v>
      </c>
      <c r="H3" s="48" t="s">
        <v>17</v>
      </c>
      <c r="I3" s="48" t="s">
        <v>18</v>
      </c>
    </row>
    <row r="4" spans="1:13" s="52" customFormat="1" x14ac:dyDescent="0.2">
      <c r="A4" s="51" t="s">
        <v>135</v>
      </c>
      <c r="B4" s="58">
        <f>+DCap!C17-'ICap '!C18</f>
        <v>0</v>
      </c>
      <c r="C4" s="58">
        <f>+DCap!E17-'ICap '!E18</f>
        <v>0</v>
      </c>
      <c r="D4" s="58"/>
      <c r="E4" s="58"/>
      <c r="F4" s="58"/>
      <c r="G4" s="58"/>
      <c r="H4" s="58"/>
      <c r="I4" s="58"/>
    </row>
    <row r="5" spans="1:13" s="52" customFormat="1" x14ac:dyDescent="0.2">
      <c r="A5" s="51" t="s">
        <v>136</v>
      </c>
      <c r="B5" s="58">
        <f>+DProg!C76-DCap!C17</f>
        <v>0</v>
      </c>
      <c r="C5" s="58">
        <f>+DProg!D76-DCap!E17</f>
        <v>0</v>
      </c>
      <c r="D5" s="58">
        <f>+DProg!E76-DCap!G17</f>
        <v>0</v>
      </c>
      <c r="E5" s="58"/>
      <c r="F5" s="58">
        <f>+DProg!G76-DCap!I17</f>
        <v>0</v>
      </c>
      <c r="G5" s="58"/>
      <c r="H5" s="58">
        <f>+DProg!I76-DCap!K17</f>
        <v>0</v>
      </c>
      <c r="I5" s="58"/>
    </row>
    <row r="6" spans="1:13" s="52" customFormat="1" x14ac:dyDescent="0.2">
      <c r="A6" s="51" t="s">
        <v>137</v>
      </c>
      <c r="B6" s="58">
        <f>+DOrg!C28-DCap!C17</f>
        <v>0</v>
      </c>
      <c r="C6" s="58">
        <f>+DOrg!D28-DCap!E17</f>
        <v>0</v>
      </c>
      <c r="D6" s="58">
        <f>+DOrg!E28-DCap!G17</f>
        <v>0</v>
      </c>
      <c r="E6" s="58"/>
      <c r="F6" s="58">
        <f>+DOrg!G28-DCap!I17</f>
        <v>0</v>
      </c>
      <c r="G6" s="58"/>
      <c r="H6" s="58">
        <f>+DOrg!I28-DCap!K17</f>
        <v>0</v>
      </c>
      <c r="I6" s="58"/>
    </row>
    <row r="7" spans="1:13" x14ac:dyDescent="0.2">
      <c r="A7" s="41" t="s">
        <v>138</v>
      </c>
      <c r="B7" s="33">
        <f>+DOrg!C5-'DCap 01'!C16</f>
        <v>0</v>
      </c>
      <c r="C7" s="33">
        <f>+DOrg!D5-'DCap 01'!D16</f>
        <v>0</v>
      </c>
      <c r="D7" s="33">
        <f>+DOrg!E5-'DCap 01'!E16</f>
        <v>0</v>
      </c>
      <c r="E7" s="33"/>
      <c r="F7" s="33">
        <f>+DOrg!G5-'DCap 01'!G16</f>
        <v>0</v>
      </c>
      <c r="G7" s="33"/>
      <c r="H7" s="33">
        <f>+DOrg!I5-'DCap 01'!I16</f>
        <v>0</v>
      </c>
      <c r="I7" s="58"/>
    </row>
    <row r="8" spans="1:13" x14ac:dyDescent="0.2">
      <c r="A8" s="41" t="s">
        <v>139</v>
      </c>
      <c r="B8" s="33">
        <f>+DOrg!C6-'DCap 02'!C17</f>
        <v>0</v>
      </c>
      <c r="C8" s="33">
        <f>+DOrg!D6-'DCap 02'!D17</f>
        <v>0</v>
      </c>
      <c r="D8" s="33">
        <f>+DOrg!E6-'DCap 02'!E17</f>
        <v>0</v>
      </c>
      <c r="E8" s="33"/>
      <c r="F8" s="33">
        <f>+DOrg!G6-'DCap 02'!G17</f>
        <v>0</v>
      </c>
      <c r="G8" s="33"/>
      <c r="H8" s="33">
        <f>+DOrg!I6-'DCap 02'!I17</f>
        <v>0</v>
      </c>
      <c r="I8" s="58"/>
      <c r="M8" s="390"/>
    </row>
    <row r="9" spans="1:13" x14ac:dyDescent="0.2">
      <c r="A9" s="41" t="s">
        <v>140</v>
      </c>
      <c r="B9" s="33">
        <f>+DOrg!C9-'DCap 0502'!C16</f>
        <v>0</v>
      </c>
      <c r="C9" s="33">
        <f>+DOrg!D9-'DCap 0502'!D16</f>
        <v>0</v>
      </c>
      <c r="D9" s="33">
        <f>+DOrg!E9-'DCap 0502'!E16</f>
        <v>0</v>
      </c>
      <c r="E9" s="33"/>
      <c r="F9" s="33">
        <f>+DOrg!G9-'DCap 0502'!G16</f>
        <v>0</v>
      </c>
      <c r="G9" s="33"/>
      <c r="H9" s="33">
        <f>+DOrg!I9-'DCap 0502'!I16</f>
        <v>0</v>
      </c>
      <c r="I9" s="58"/>
    </row>
    <row r="10" spans="1:13" x14ac:dyDescent="0.2">
      <c r="A10" s="41" t="s">
        <v>141</v>
      </c>
      <c r="B10" s="33">
        <f>+DOrg!C7-'DCap 04'!C16</f>
        <v>0</v>
      </c>
      <c r="C10" s="33">
        <f>+DOrg!D7-'DCap 04'!D16</f>
        <v>0</v>
      </c>
      <c r="D10" s="33">
        <f>+DOrg!E7-'DCap 04'!E16</f>
        <v>0</v>
      </c>
      <c r="E10" s="33"/>
      <c r="F10" s="33">
        <f>+DOrg!G7-'DCap 04'!G16</f>
        <v>0</v>
      </c>
      <c r="G10" s="33"/>
      <c r="H10" s="33">
        <f>+DOrg!I7-'DCap 04'!I16</f>
        <v>0</v>
      </c>
      <c r="I10" s="58"/>
    </row>
    <row r="11" spans="1:13" x14ac:dyDescent="0.2">
      <c r="A11" s="41" t="s">
        <v>142</v>
      </c>
      <c r="B11" s="33">
        <f>+DOrg!C8-'DCap 0501'!C16</f>
        <v>0</v>
      </c>
      <c r="C11" s="33">
        <f>+DOrg!D8-'DCap 0501'!D16</f>
        <v>0</v>
      </c>
      <c r="D11" s="33">
        <f>+DOrg!E8-'DCap 0501'!E16</f>
        <v>0</v>
      </c>
      <c r="E11" s="33"/>
      <c r="F11" s="33">
        <f>+DOrg!G8-'DCap 0501'!G16</f>
        <v>0</v>
      </c>
      <c r="G11" s="33"/>
      <c r="H11" s="33">
        <f>+DOrg!I8-'DCap 0501'!I16</f>
        <v>0</v>
      </c>
      <c r="I11" s="58"/>
    </row>
    <row r="12" spans="1:13" x14ac:dyDescent="0.2">
      <c r="A12" s="41" t="s">
        <v>143</v>
      </c>
      <c r="B12" s="33">
        <f>+DOrg!C12-'DCap 0701'!C16</f>
        <v>0</v>
      </c>
      <c r="C12" s="33">
        <f>+DOrg!D12-'DCap 0701'!D16</f>
        <v>0</v>
      </c>
      <c r="D12" s="33">
        <f>+DOrg!E12-'DCap 0701'!E16</f>
        <v>0</v>
      </c>
      <c r="E12" s="33"/>
      <c r="F12" s="33">
        <f>+DOrg!G12-'DCap 0701'!G16</f>
        <v>0</v>
      </c>
      <c r="G12" s="33"/>
      <c r="H12" s="33">
        <f>+DOrg!I12-'DCap 0701'!I16</f>
        <v>0</v>
      </c>
      <c r="I12" s="58"/>
    </row>
    <row r="13" spans="1:13" x14ac:dyDescent="0.2">
      <c r="A13" s="41" t="s">
        <v>144</v>
      </c>
      <c r="B13" s="33">
        <f>+DOrg!C15-'DCap 08'!C16</f>
        <v>0</v>
      </c>
      <c r="C13" s="33">
        <f>+DOrg!D15-'DCap 08'!D16</f>
        <v>0</v>
      </c>
      <c r="D13" s="33">
        <f>+DOrg!E15-'DCap 08'!E16</f>
        <v>0</v>
      </c>
      <c r="E13" s="33"/>
      <c r="F13" s="33">
        <f>+DOrg!G15-'DCap 08'!G16</f>
        <v>0</v>
      </c>
      <c r="G13" s="33"/>
      <c r="H13" s="33">
        <f>+DOrg!I15-'DCap 08'!I16</f>
        <v>0</v>
      </c>
      <c r="I13" s="58"/>
    </row>
    <row r="14" spans="1:13" x14ac:dyDescent="0.2">
      <c r="A14" s="41" t="s">
        <v>145</v>
      </c>
      <c r="B14" s="33">
        <f>+DOrg!C14-'DCap 0703'!C17</f>
        <v>0</v>
      </c>
      <c r="C14" s="33">
        <f>+DOrg!D14-'DCap 0703'!D17</f>
        <v>0</v>
      </c>
      <c r="D14" s="33">
        <f>+DOrg!E14-'DCap 0703'!E17</f>
        <v>0</v>
      </c>
      <c r="E14" s="33"/>
      <c r="F14" s="33">
        <f>+DOrg!G14-'DCap 0703'!G17</f>
        <v>0</v>
      </c>
      <c r="G14" s="33"/>
      <c r="H14" s="33">
        <f>+DOrg!I14-'DCap 0703'!I17</f>
        <v>0</v>
      </c>
      <c r="I14" s="58"/>
    </row>
    <row r="15" spans="1:13" x14ac:dyDescent="0.2">
      <c r="A15" s="41" t="s">
        <v>146</v>
      </c>
      <c r="B15" s="33">
        <f>+DOrg!C27-'DCap 06'!C16</f>
        <v>0</v>
      </c>
      <c r="C15" s="33">
        <f>+DOrg!D27-'DCap 06'!D16</f>
        <v>0</v>
      </c>
      <c r="D15" s="33">
        <f>+DOrg!E27-'DCap 06'!E16</f>
        <v>0</v>
      </c>
      <c r="E15" s="33"/>
      <c r="F15" s="33">
        <f>+DOrg!G27-'DCap 06'!G16</f>
        <v>0</v>
      </c>
      <c r="G15" s="33"/>
      <c r="H15" s="33">
        <f>+DOrg!I27-'DCap 06'!I16</f>
        <v>0</v>
      </c>
      <c r="I15" s="58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B17" sqref="B17"/>
    </sheetView>
  </sheetViews>
  <sheetFormatPr defaultColWidth="11.42578125" defaultRowHeight="12.75" x14ac:dyDescent="0.2"/>
  <cols>
    <col min="1" max="1" width="2.7109375" customWidth="1"/>
    <col min="2" max="2" width="60" customWidth="1"/>
    <col min="3" max="3" width="13.28515625" bestFit="1" customWidth="1"/>
    <col min="4" max="4" width="11.5703125" bestFit="1" customWidth="1"/>
    <col min="5" max="5" width="10.85546875" customWidth="1"/>
    <col min="6" max="6" width="8" style="105" customWidth="1"/>
    <col min="7" max="7" width="11.140625" bestFit="1" customWidth="1"/>
    <col min="8" max="8" width="6.140625" style="105" customWidth="1"/>
    <col min="9" max="9" width="11.28515625" customWidth="1"/>
    <col min="10" max="10" width="21.7109375" style="64" bestFit="1" customWidth="1"/>
    <col min="12" max="12" width="12.7109375" bestFit="1" customWidth="1"/>
    <col min="14" max="14" width="12.7109375" bestFit="1" customWidth="1"/>
  </cols>
  <sheetData>
    <row r="1" spans="1:15" x14ac:dyDescent="0.2">
      <c r="E1" t="s">
        <v>148</v>
      </c>
    </row>
    <row r="2" spans="1:15" ht="15" x14ac:dyDescent="0.25">
      <c r="B2" s="7" t="s">
        <v>228</v>
      </c>
      <c r="F2"/>
      <c r="H2"/>
      <c r="J2"/>
      <c r="M2" s="389"/>
    </row>
    <row r="3" spans="1:15" x14ac:dyDescent="0.2">
      <c r="F3"/>
      <c r="H3"/>
      <c r="J3"/>
      <c r="M3" s="389"/>
    </row>
    <row r="4" spans="1:15" s="328" customFormat="1" ht="15" customHeight="1" x14ac:dyDescent="0.2">
      <c r="A4"/>
      <c r="B4"/>
      <c r="C4"/>
      <c r="D4"/>
      <c r="E4"/>
      <c r="F4"/>
      <c r="G4"/>
      <c r="H4"/>
      <c r="I4"/>
      <c r="J4"/>
      <c r="K4"/>
      <c r="L4"/>
      <c r="M4" s="390"/>
    </row>
    <row r="5" spans="1:15" s="328" customFormat="1" ht="15" customHeight="1" x14ac:dyDescent="0.2">
      <c r="A5"/>
      <c r="B5"/>
      <c r="C5"/>
      <c r="D5"/>
      <c r="E5"/>
      <c r="F5"/>
      <c r="G5"/>
      <c r="H5"/>
      <c r="I5"/>
      <c r="J5"/>
      <c r="K5"/>
      <c r="L5"/>
      <c r="M5" s="389"/>
    </row>
    <row r="6" spans="1:15" s="328" customFormat="1" ht="15" customHeight="1" x14ac:dyDescent="0.2">
      <c r="A6"/>
      <c r="B6"/>
      <c r="C6"/>
      <c r="D6"/>
      <c r="E6"/>
      <c r="F6"/>
      <c r="G6"/>
      <c r="H6"/>
      <c r="I6"/>
      <c r="J6"/>
      <c r="K6"/>
      <c r="L6"/>
      <c r="M6" s="544"/>
    </row>
    <row r="7" spans="1:15" s="328" customFormat="1" ht="15" customHeight="1" x14ac:dyDescent="0.2">
      <c r="A7"/>
      <c r="B7"/>
      <c r="C7"/>
      <c r="D7"/>
      <c r="E7"/>
      <c r="F7"/>
      <c r="G7"/>
      <c r="H7"/>
      <c r="I7"/>
      <c r="J7"/>
      <c r="K7"/>
      <c r="L7"/>
      <c r="M7" s="544"/>
    </row>
    <row r="8" spans="1:15" s="328" customFormat="1" ht="15" customHeight="1" x14ac:dyDescent="0.2">
      <c r="A8"/>
      <c r="B8"/>
      <c r="C8"/>
      <c r="D8"/>
      <c r="E8"/>
      <c r="F8"/>
      <c r="G8"/>
      <c r="H8"/>
      <c r="I8"/>
      <c r="J8"/>
      <c r="K8"/>
      <c r="L8"/>
      <c r="M8" s="544"/>
    </row>
    <row r="9" spans="1:15" s="328" customFormat="1" ht="15" customHeight="1" x14ac:dyDescent="0.2">
      <c r="A9"/>
      <c r="B9"/>
      <c r="C9"/>
      <c r="D9"/>
      <c r="E9"/>
      <c r="F9"/>
      <c r="G9"/>
      <c r="H9"/>
      <c r="I9"/>
      <c r="J9"/>
      <c r="K9"/>
      <c r="L9"/>
      <c r="M9" s="544"/>
    </row>
    <row r="10" spans="1:15" ht="15" customHeight="1" x14ac:dyDescent="0.2">
      <c r="F10"/>
      <c r="H10"/>
      <c r="J10"/>
      <c r="M10" s="544"/>
      <c r="N10" s="328"/>
      <c r="O10" s="328"/>
    </row>
    <row r="11" spans="1:15" s="328" customFormat="1" ht="1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 s="544"/>
    </row>
    <row r="12" spans="1:15" s="328" customFormat="1" ht="15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 s="389"/>
    </row>
    <row r="13" spans="1:15" ht="15" customHeight="1" x14ac:dyDescent="0.2">
      <c r="F13"/>
      <c r="H13"/>
      <c r="J13"/>
      <c r="M13" s="389"/>
      <c r="N13" s="328"/>
      <c r="O13" s="328"/>
    </row>
    <row r="14" spans="1:15" s="328" customFormat="1" ht="15" customHeight="1" x14ac:dyDescent="0.2">
      <c r="A14"/>
      <c r="B14"/>
      <c r="C14"/>
      <c r="D14"/>
      <c r="E14"/>
      <c r="F14"/>
      <c r="G14"/>
      <c r="H14"/>
      <c r="I14"/>
      <c r="J14"/>
      <c r="K14"/>
      <c r="L14"/>
      <c r="M14" s="544"/>
    </row>
    <row r="15" spans="1:15" s="328" customFormat="1" ht="15" customHeight="1" x14ac:dyDescent="0.2">
      <c r="A15"/>
      <c r="B15"/>
      <c r="C15"/>
      <c r="D15"/>
      <c r="E15"/>
      <c r="F15"/>
      <c r="G15"/>
      <c r="H15"/>
      <c r="I15"/>
      <c r="J15"/>
      <c r="K15"/>
      <c r="L15"/>
      <c r="M15" s="544"/>
    </row>
    <row r="16" spans="1:15" s="328" customFormat="1" ht="1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 s="544"/>
    </row>
    <row r="17" spans="1:15" s="328" customFormat="1" ht="15" customHeight="1" x14ac:dyDescent="0.2">
      <c r="A17"/>
      <c r="B17"/>
      <c r="C17"/>
      <c r="D17"/>
      <c r="E17"/>
      <c r="F17"/>
      <c r="G17"/>
      <c r="H17"/>
      <c r="I17"/>
      <c r="J17"/>
      <c r="K17"/>
      <c r="L17"/>
      <c r="M17" s="544"/>
    </row>
    <row r="18" spans="1:15" s="328" customFormat="1" ht="15" customHeight="1" x14ac:dyDescent="0.2">
      <c r="A18"/>
      <c r="B18"/>
      <c r="C18"/>
      <c r="D18"/>
      <c r="E18"/>
      <c r="F18"/>
      <c r="G18"/>
      <c r="H18"/>
      <c r="I18"/>
      <c r="J18"/>
      <c r="K18"/>
      <c r="L18"/>
      <c r="M18" s="544"/>
    </row>
    <row r="19" spans="1:15" s="328" customFormat="1" ht="1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 s="544"/>
      <c r="N19" s="531"/>
      <c r="O19" s="531"/>
    </row>
    <row r="20" spans="1:15" s="328" customFormat="1" ht="15" customHeight="1" x14ac:dyDescent="0.2">
      <c r="A20"/>
      <c r="B20"/>
      <c r="C20"/>
      <c r="D20"/>
      <c r="E20"/>
      <c r="F20"/>
      <c r="G20"/>
      <c r="H20"/>
      <c r="I20"/>
      <c r="J20"/>
      <c r="K20"/>
      <c r="L20"/>
      <c r="M20" s="389"/>
    </row>
    <row r="21" spans="1:15" s="328" customFormat="1" ht="15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 s="389"/>
    </row>
    <row r="22" spans="1:15" s="328" customFormat="1" ht="1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389"/>
    </row>
    <row r="23" spans="1:15" s="328" customFormat="1" ht="15" customHeight="1" x14ac:dyDescent="0.2">
      <c r="A23"/>
      <c r="B23"/>
      <c r="C23"/>
      <c r="D23"/>
      <c r="E23"/>
      <c r="F23"/>
      <c r="G23"/>
      <c r="H23"/>
      <c r="I23"/>
      <c r="J23"/>
      <c r="K23"/>
      <c r="L23"/>
      <c r="M23" s="389"/>
    </row>
    <row r="24" spans="1:15" s="328" customFormat="1" ht="1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389"/>
    </row>
    <row r="25" spans="1:15" s="328" customFormat="1" ht="15" customHeight="1" x14ac:dyDescent="0.2">
      <c r="A25"/>
      <c r="B25"/>
      <c r="C25"/>
      <c r="D25"/>
      <c r="E25"/>
      <c r="F25"/>
      <c r="G25"/>
      <c r="H25"/>
      <c r="I25"/>
      <c r="J25"/>
      <c r="K25"/>
      <c r="L25"/>
      <c r="M25" s="389"/>
    </row>
    <row r="26" spans="1:15" s="328" customFormat="1" ht="1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 s="389"/>
    </row>
    <row r="27" spans="1:15" s="328" customFormat="1" ht="15" customHeight="1" x14ac:dyDescent="0.2">
      <c r="A27"/>
      <c r="B27"/>
      <c r="C27"/>
      <c r="D27"/>
      <c r="E27"/>
      <c r="F27"/>
      <c r="G27"/>
      <c r="H27"/>
      <c r="I27"/>
      <c r="J27"/>
      <c r="K27"/>
      <c r="L27"/>
      <c r="M27" s="389"/>
    </row>
    <row r="28" spans="1:15" s="328" customFormat="1" ht="15" customHeight="1" x14ac:dyDescent="0.2">
      <c r="A28"/>
      <c r="B28"/>
      <c r="C28"/>
      <c r="D28"/>
      <c r="E28"/>
      <c r="F28"/>
      <c r="G28"/>
      <c r="H28"/>
      <c r="I28"/>
      <c r="J28"/>
      <c r="K28"/>
      <c r="L28"/>
    </row>
    <row r="29" spans="1:15" s="328" customFormat="1" ht="15" customHeight="1" x14ac:dyDescent="0.2">
      <c r="A29"/>
      <c r="B29"/>
      <c r="C29"/>
      <c r="D29"/>
      <c r="E29"/>
      <c r="F29"/>
      <c r="G29"/>
      <c r="H29"/>
      <c r="I29"/>
      <c r="J29"/>
      <c r="K29"/>
      <c r="L29"/>
    </row>
    <row r="30" spans="1:15" s="328" customFormat="1" ht="15" customHeight="1" x14ac:dyDescent="0.2">
      <c r="A30"/>
      <c r="B30"/>
      <c r="C30"/>
      <c r="D30"/>
      <c r="E30"/>
      <c r="F30"/>
      <c r="G30"/>
      <c r="H30"/>
      <c r="I30"/>
      <c r="J30"/>
      <c r="K30"/>
      <c r="L30"/>
    </row>
    <row r="31" spans="1:15" s="328" customFormat="1" ht="15" customHeight="1" x14ac:dyDescent="0.2">
      <c r="A31"/>
      <c r="B31"/>
      <c r="C31"/>
      <c r="D31"/>
      <c r="E31"/>
      <c r="F31"/>
      <c r="G31"/>
      <c r="H31"/>
      <c r="I31"/>
      <c r="J31"/>
      <c r="K31"/>
      <c r="L31"/>
    </row>
    <row r="32" spans="1:15" s="328" customFormat="1" ht="15" customHeight="1" x14ac:dyDescent="0.2">
      <c r="A32"/>
      <c r="B32"/>
      <c r="C32"/>
      <c r="D32"/>
      <c r="E32"/>
      <c r="F32"/>
      <c r="G32"/>
      <c r="H32"/>
      <c r="I32"/>
      <c r="J32"/>
      <c r="K32"/>
      <c r="L32"/>
    </row>
    <row r="33" spans="1:12" s="328" customFormat="1" ht="15" customHeight="1" x14ac:dyDescent="0.2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9" fitToWidth="0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Q36"/>
  <sheetViews>
    <sheetView zoomScaleNormal="100" workbookViewId="0">
      <selection activeCell="J32" sqref="J32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1" spans="1:13" ht="15.75" thickBot="1" x14ac:dyDescent="0.3">
      <c r="A1" s="7" t="s">
        <v>229</v>
      </c>
    </row>
    <row r="2" spans="1:13" x14ac:dyDescent="0.2">
      <c r="A2" s="8" t="s">
        <v>149</v>
      </c>
      <c r="C2" s="181" t="s">
        <v>479</v>
      </c>
      <c r="D2" s="595" t="s">
        <v>551</v>
      </c>
      <c r="E2" s="593"/>
      <c r="F2" s="593"/>
      <c r="G2" s="593"/>
      <c r="H2" s="594"/>
      <c r="I2" s="589" t="s">
        <v>554</v>
      </c>
      <c r="J2" s="590"/>
      <c r="K2" s="224"/>
    </row>
    <row r="3" spans="1:13" x14ac:dyDescent="0.2">
      <c r="C3" s="174">
        <v>1</v>
      </c>
      <c r="D3" s="165">
        <v>2</v>
      </c>
      <c r="E3" s="95">
        <v>3</v>
      </c>
      <c r="F3" s="96" t="s">
        <v>36</v>
      </c>
      <c r="G3" s="95">
        <v>4</v>
      </c>
      <c r="H3" s="166" t="s">
        <v>46</v>
      </c>
      <c r="I3" s="95" t="s">
        <v>47</v>
      </c>
      <c r="J3" s="16" t="s">
        <v>48</v>
      </c>
      <c r="K3" s="156" t="s">
        <v>360</v>
      </c>
    </row>
    <row r="4" spans="1:13" ht="25.5" x14ac:dyDescent="0.2">
      <c r="A4" s="1"/>
      <c r="B4" s="2" t="s">
        <v>150</v>
      </c>
      <c r="C4" s="175" t="s">
        <v>44</v>
      </c>
      <c r="D4" s="127" t="s">
        <v>45</v>
      </c>
      <c r="E4" s="97" t="s">
        <v>133</v>
      </c>
      <c r="F4" s="97" t="s">
        <v>18</v>
      </c>
      <c r="G4" s="97" t="s">
        <v>415</v>
      </c>
      <c r="H4" s="128" t="s">
        <v>18</v>
      </c>
      <c r="I4" s="97" t="s">
        <v>133</v>
      </c>
      <c r="J4" s="12" t="s">
        <v>18</v>
      </c>
      <c r="K4" s="157" t="s">
        <v>516</v>
      </c>
      <c r="L4" s="62" t="s">
        <v>163</v>
      </c>
    </row>
    <row r="5" spans="1:13" ht="15" customHeight="1" x14ac:dyDescent="0.2">
      <c r="A5" s="21"/>
      <c r="B5" s="21" t="s">
        <v>215</v>
      </c>
      <c r="C5" s="177">
        <v>500020</v>
      </c>
      <c r="D5" s="168">
        <v>500020</v>
      </c>
      <c r="E5" s="153">
        <v>4277997.37</v>
      </c>
      <c r="F5" s="321">
        <f t="shared" ref="F5:F12" si="0">+E5/D5</f>
        <v>8.5556525138994441</v>
      </c>
      <c r="G5" s="153">
        <v>3066695.27</v>
      </c>
      <c r="H5" s="170">
        <f t="shared" ref="H5" si="1">+G5/E5</f>
        <v>0.71685300498443272</v>
      </c>
      <c r="I5" s="31">
        <v>10022931.58</v>
      </c>
      <c r="J5" s="53">
        <v>6.5851526428172527</v>
      </c>
      <c r="K5" s="158">
        <f>+E5/I5-1</f>
        <v>-0.57317903091981393</v>
      </c>
      <c r="L5" s="63">
        <v>60</v>
      </c>
    </row>
    <row r="6" spans="1:13" ht="15" customHeight="1" x14ac:dyDescent="0.2">
      <c r="A6" s="23"/>
      <c r="B6" s="23" t="s">
        <v>216</v>
      </c>
      <c r="C6" s="177">
        <v>10</v>
      </c>
      <c r="D6" s="168">
        <v>10</v>
      </c>
      <c r="E6" s="150">
        <v>76901</v>
      </c>
      <c r="F6" s="321" t="s">
        <v>129</v>
      </c>
      <c r="G6" s="150">
        <v>76901</v>
      </c>
      <c r="H6" s="170">
        <f>+G6/E6</f>
        <v>1</v>
      </c>
      <c r="I6" s="33">
        <v>0</v>
      </c>
      <c r="J6" s="53" t="s">
        <v>129</v>
      </c>
      <c r="K6" s="158" t="s">
        <v>129</v>
      </c>
      <c r="L6" s="64">
        <v>61901</v>
      </c>
    </row>
    <row r="7" spans="1:13" ht="15" customHeight="1" x14ac:dyDescent="0.2">
      <c r="A7" s="23"/>
      <c r="B7" s="23" t="s">
        <v>217</v>
      </c>
      <c r="C7" s="177">
        <v>50</v>
      </c>
      <c r="D7" s="168">
        <v>50</v>
      </c>
      <c r="E7" s="150">
        <v>431889.24000000022</v>
      </c>
      <c r="F7" s="321" t="s">
        <v>129</v>
      </c>
      <c r="G7" s="150">
        <v>431889.23999999976</v>
      </c>
      <c r="H7" s="170">
        <f>+G7/E7</f>
        <v>0.99999999999999889</v>
      </c>
      <c r="I7" s="33">
        <v>8231.4000000003725</v>
      </c>
      <c r="J7" s="53">
        <v>1.371890854061035E-3</v>
      </c>
      <c r="K7" s="158" t="s">
        <v>129</v>
      </c>
      <c r="L7" s="64" t="s">
        <v>225</v>
      </c>
    </row>
    <row r="8" spans="1:13" ht="15" customHeight="1" thickBot="1" x14ac:dyDescent="0.25">
      <c r="A8" s="9"/>
      <c r="B8" s="2" t="s">
        <v>218</v>
      </c>
      <c r="C8" s="179">
        <f>SUM(C5:C7)</f>
        <v>500080</v>
      </c>
      <c r="D8" s="169">
        <f t="shared" ref="D8:G8" si="2">SUM(D5:D7)</f>
        <v>500080</v>
      </c>
      <c r="E8" s="92">
        <f t="shared" si="2"/>
        <v>4786787.6100000003</v>
      </c>
      <c r="F8" s="98">
        <f t="shared" si="0"/>
        <v>9.5720436930091193</v>
      </c>
      <c r="G8" s="92">
        <f t="shared" si="2"/>
        <v>3575485.51</v>
      </c>
      <c r="H8" s="428">
        <f>+G8/E8</f>
        <v>0.74694885198802452</v>
      </c>
      <c r="I8" s="92">
        <f>SUM(I5:I7)</f>
        <v>10031162.98</v>
      </c>
      <c r="J8" s="44">
        <v>1.3340000000000001</v>
      </c>
      <c r="K8" s="380">
        <f t="shared" ref="K8" si="3">+E8/I8-1</f>
        <v>-0.52280831050758181</v>
      </c>
      <c r="M8" s="390"/>
    </row>
    <row r="9" spans="1:13" ht="15" customHeight="1" x14ac:dyDescent="0.2">
      <c r="A9" s="21"/>
      <c r="B9" s="21" t="s">
        <v>219</v>
      </c>
      <c r="C9" s="176">
        <v>0</v>
      </c>
      <c r="D9" s="167">
        <v>1187000</v>
      </c>
      <c r="E9" s="104">
        <v>845400</v>
      </c>
      <c r="F9" s="49">
        <f t="shared" si="0"/>
        <v>0.71221566975568662</v>
      </c>
      <c r="G9" s="104">
        <v>845400</v>
      </c>
      <c r="H9" s="170">
        <f>+G9/E9</f>
        <v>1</v>
      </c>
      <c r="I9" s="153">
        <v>37335.599999999999</v>
      </c>
      <c r="J9" s="53">
        <v>2.5413073045207599E-2</v>
      </c>
      <c r="K9" s="158" t="s">
        <v>129</v>
      </c>
      <c r="L9" s="63">
        <v>72</v>
      </c>
    </row>
    <row r="10" spans="1:13" ht="15" customHeight="1" x14ac:dyDescent="0.2">
      <c r="A10" s="21"/>
      <c r="B10" s="21" t="s">
        <v>220</v>
      </c>
      <c r="C10" s="176"/>
      <c r="D10" s="167"/>
      <c r="E10" s="153"/>
      <c r="F10" s="49" t="s">
        <v>129</v>
      </c>
      <c r="G10" s="153"/>
      <c r="H10" s="170" t="s">
        <v>129</v>
      </c>
      <c r="I10" s="153">
        <v>4714000</v>
      </c>
      <c r="J10" s="53" t="s">
        <v>129</v>
      </c>
      <c r="K10" s="158">
        <f>+E10/I10-1</f>
        <v>-1</v>
      </c>
      <c r="L10" s="63">
        <v>75031</v>
      </c>
    </row>
    <row r="11" spans="1:13" ht="15" customHeight="1" x14ac:dyDescent="0.2">
      <c r="A11" s="21"/>
      <c r="B11" s="21" t="s">
        <v>221</v>
      </c>
      <c r="C11" s="176">
        <v>1939869</v>
      </c>
      <c r="D11" s="167">
        <v>2106900.56</v>
      </c>
      <c r="E11" s="153">
        <v>2904763.77</v>
      </c>
      <c r="F11" s="49">
        <f t="shared" si="0"/>
        <v>1.3786904921606742</v>
      </c>
      <c r="G11" s="153">
        <v>0</v>
      </c>
      <c r="H11" s="170" t="s">
        <v>129</v>
      </c>
      <c r="I11" s="153">
        <v>1.0900000000000001</v>
      </c>
      <c r="J11" s="53" t="s">
        <v>129</v>
      </c>
      <c r="K11" s="158" t="s">
        <v>129</v>
      </c>
      <c r="L11" s="63">
        <v>75070</v>
      </c>
    </row>
    <row r="12" spans="1:13" ht="15" customHeight="1" x14ac:dyDescent="0.2">
      <c r="A12" s="21"/>
      <c r="B12" s="21" t="s">
        <v>222</v>
      </c>
      <c r="C12" s="176">
        <v>11973956</v>
      </c>
      <c r="D12" s="167">
        <v>12073956</v>
      </c>
      <c r="E12" s="153">
        <v>12309365.15</v>
      </c>
      <c r="F12" s="49">
        <f t="shared" si="0"/>
        <v>1.0194972675070209</v>
      </c>
      <c r="G12" s="153">
        <v>525788.9</v>
      </c>
      <c r="H12" s="170" t="s">
        <v>129</v>
      </c>
      <c r="I12" s="153">
        <v>2193041.25</v>
      </c>
      <c r="J12" s="53" t="s">
        <v>129</v>
      </c>
      <c r="K12" s="158">
        <f>+E12/I12-1</f>
        <v>4.6129200260141028</v>
      </c>
      <c r="L12" s="64" t="s">
        <v>226</v>
      </c>
    </row>
    <row r="13" spans="1:13" ht="15" customHeight="1" x14ac:dyDescent="0.2">
      <c r="A13" s="21"/>
      <c r="B13" s="21" t="s">
        <v>223</v>
      </c>
      <c r="C13" s="176">
        <v>14388310</v>
      </c>
      <c r="D13" s="167">
        <v>30479345.359999999</v>
      </c>
      <c r="E13" s="153">
        <v>3162229.45</v>
      </c>
      <c r="F13" s="49">
        <f>+E13/D13</f>
        <v>0.10374991367596749</v>
      </c>
      <c r="G13" s="153">
        <v>3162229.45</v>
      </c>
      <c r="H13" s="170">
        <f t="shared" ref="H13:H17" si="4">+G13/E13</f>
        <v>1</v>
      </c>
      <c r="I13" s="153">
        <v>2852947.93</v>
      </c>
      <c r="J13" s="53">
        <v>0.17365692346299361</v>
      </c>
      <c r="K13" s="158" t="s">
        <v>129</v>
      </c>
      <c r="L13" s="63">
        <v>761</v>
      </c>
    </row>
    <row r="14" spans="1:13" ht="15" customHeight="1" x14ac:dyDescent="0.2">
      <c r="A14" s="21"/>
      <c r="B14" s="21" t="s">
        <v>197</v>
      </c>
      <c r="C14" s="176">
        <v>804514</v>
      </c>
      <c r="D14" s="167">
        <v>1028552.64</v>
      </c>
      <c r="E14" s="153">
        <v>2317125.6</v>
      </c>
      <c r="F14" s="49">
        <f>+E14/D14</f>
        <v>2.2528021511859619</v>
      </c>
      <c r="G14" s="153">
        <v>2317125.6</v>
      </c>
      <c r="H14" s="170">
        <f t="shared" si="4"/>
        <v>1</v>
      </c>
      <c r="I14" s="153">
        <v>611225.24</v>
      </c>
      <c r="J14" s="53">
        <v>0.37992539697145822</v>
      </c>
      <c r="K14" s="158">
        <f>+E14/I14-1</f>
        <v>2.7909520883005423</v>
      </c>
      <c r="L14" s="63">
        <v>79</v>
      </c>
    </row>
    <row r="15" spans="1:13" ht="15" customHeight="1" x14ac:dyDescent="0.2">
      <c r="A15" s="21"/>
      <c r="B15" s="21" t="s">
        <v>224</v>
      </c>
      <c r="C15" s="176">
        <v>0</v>
      </c>
      <c r="D15" s="167">
        <v>67555.95</v>
      </c>
      <c r="E15" s="153">
        <v>42555.96</v>
      </c>
      <c r="F15" s="49">
        <f>+E15/D15</f>
        <v>0.62993651928512595</v>
      </c>
      <c r="G15" s="153">
        <v>42555.96</v>
      </c>
      <c r="H15" s="170">
        <f t="shared" si="4"/>
        <v>1</v>
      </c>
      <c r="I15" s="153">
        <v>300000</v>
      </c>
      <c r="J15" s="53">
        <v>4.5592705167173252E-2</v>
      </c>
      <c r="K15" s="158" t="s">
        <v>129</v>
      </c>
      <c r="L15" s="64" t="s">
        <v>227</v>
      </c>
    </row>
    <row r="16" spans="1:13" ht="15" customHeight="1" thickBot="1" x14ac:dyDescent="0.25">
      <c r="A16" s="9"/>
      <c r="B16" s="2" t="s">
        <v>6</v>
      </c>
      <c r="C16" s="179">
        <f>SUM(C9:C15)</f>
        <v>29106649</v>
      </c>
      <c r="D16" s="169">
        <f>SUM(D9:D15)</f>
        <v>46943310.510000005</v>
      </c>
      <c r="E16" s="92">
        <f>SUM(E9:E15)</f>
        <v>21581439.930000003</v>
      </c>
      <c r="F16" s="98">
        <f>+E16/D16</f>
        <v>0.45973408554990303</v>
      </c>
      <c r="G16" s="92">
        <f>SUM(G9:G15)</f>
        <v>6893099.9099999992</v>
      </c>
      <c r="H16" s="428">
        <f t="shared" si="4"/>
        <v>0.31939944379790963</v>
      </c>
      <c r="I16" s="92">
        <f>SUM(I9:I15)</f>
        <v>10708551.109999999</v>
      </c>
      <c r="J16" s="44">
        <v>0.40200000000000002</v>
      </c>
      <c r="K16" s="380">
        <f t="shared" ref="K16:K17" si="5">+E16/I16-1</f>
        <v>1.0153464001163091</v>
      </c>
    </row>
    <row r="17" spans="1:17" s="6" customFormat="1" ht="19.5" customHeight="1" thickBot="1" x14ac:dyDescent="0.25">
      <c r="A17" s="5"/>
      <c r="B17" s="4" t="s">
        <v>352</v>
      </c>
      <c r="C17" s="180">
        <f>+C8+C16</f>
        <v>29606729</v>
      </c>
      <c r="D17" s="171">
        <f>+D8+D16</f>
        <v>47443390.510000005</v>
      </c>
      <c r="E17" s="172">
        <f t="shared" ref="E17:G17" si="6">+E8+E16</f>
        <v>26368227.540000003</v>
      </c>
      <c r="F17" s="199">
        <f t="shared" ref="F17" si="7">+E17/D17</f>
        <v>0.55578295009169232</v>
      </c>
      <c r="G17" s="172">
        <f t="shared" si="6"/>
        <v>10468585.419999998</v>
      </c>
      <c r="H17" s="191">
        <f t="shared" si="4"/>
        <v>0.39701513513259062</v>
      </c>
      <c r="I17" s="164">
        <f>I8+I16</f>
        <v>20739714.09</v>
      </c>
      <c r="J17" s="208">
        <v>0.60799999999999998</v>
      </c>
      <c r="K17" s="163">
        <f t="shared" si="5"/>
        <v>0.27138818913197471</v>
      </c>
      <c r="L17" s="14"/>
      <c r="N17"/>
      <c r="O17"/>
      <c r="P17"/>
      <c r="Q17"/>
    </row>
    <row r="19" spans="1:17" ht="15.75" thickBot="1" x14ac:dyDescent="0.3">
      <c r="A19" s="7" t="s">
        <v>232</v>
      </c>
    </row>
    <row r="20" spans="1:17" x14ac:dyDescent="0.2">
      <c r="A20" s="8" t="s">
        <v>149</v>
      </c>
      <c r="C20" s="181" t="s">
        <v>479</v>
      </c>
      <c r="D20" s="592" t="s">
        <v>551</v>
      </c>
      <c r="E20" s="593"/>
      <c r="F20" s="593"/>
      <c r="G20" s="593"/>
      <c r="H20" s="594"/>
      <c r="I20" s="596" t="s">
        <v>552</v>
      </c>
      <c r="J20" s="580"/>
      <c r="K20" s="485"/>
    </row>
    <row r="21" spans="1:17" x14ac:dyDescent="0.2">
      <c r="C21" s="174">
        <v>1</v>
      </c>
      <c r="D21" s="165">
        <v>2</v>
      </c>
      <c r="E21" s="95">
        <v>3</v>
      </c>
      <c r="F21" s="96" t="s">
        <v>36</v>
      </c>
      <c r="G21" s="95">
        <v>4</v>
      </c>
      <c r="H21" s="166" t="s">
        <v>46</v>
      </c>
      <c r="I21" s="95" t="s">
        <v>47</v>
      </c>
      <c r="J21" s="16" t="s">
        <v>48</v>
      </c>
      <c r="K21" s="100" t="s">
        <v>360</v>
      </c>
    </row>
    <row r="22" spans="1:17" ht="25.5" x14ac:dyDescent="0.2">
      <c r="A22" s="1"/>
      <c r="B22" s="2" t="s">
        <v>150</v>
      </c>
      <c r="C22" s="175" t="s">
        <v>44</v>
      </c>
      <c r="D22" s="127" t="s">
        <v>45</v>
      </c>
      <c r="E22" s="97" t="s">
        <v>133</v>
      </c>
      <c r="F22" s="97" t="s">
        <v>18</v>
      </c>
      <c r="G22" s="97" t="s">
        <v>414</v>
      </c>
      <c r="H22" s="128" t="s">
        <v>18</v>
      </c>
      <c r="I22" s="97" t="s">
        <v>133</v>
      </c>
      <c r="J22" s="12" t="s">
        <v>18</v>
      </c>
      <c r="K22" s="101" t="s">
        <v>516</v>
      </c>
      <c r="L22" s="62" t="s">
        <v>163</v>
      </c>
    </row>
    <row r="23" spans="1:17" s="99" customFormat="1" x14ac:dyDescent="0.2">
      <c r="A23" s="21"/>
      <c r="B23" s="265" t="s">
        <v>462</v>
      </c>
      <c r="C23" s="176">
        <v>5000000</v>
      </c>
      <c r="D23" s="186">
        <v>5000000</v>
      </c>
      <c r="E23" s="153">
        <v>5000000</v>
      </c>
      <c r="F23" s="49">
        <f t="shared" ref="F23" si="8">+E23/D23</f>
        <v>1</v>
      </c>
      <c r="G23" s="153">
        <v>5000000</v>
      </c>
      <c r="H23" s="170">
        <f>+G23/E23</f>
        <v>1</v>
      </c>
      <c r="I23" s="153">
        <v>0</v>
      </c>
      <c r="J23" s="53" t="s">
        <v>129</v>
      </c>
      <c r="K23" s="282" t="s">
        <v>129</v>
      </c>
      <c r="L23" s="63" t="s">
        <v>463</v>
      </c>
      <c r="N23"/>
      <c r="O23"/>
      <c r="P23"/>
      <c r="Q23"/>
    </row>
    <row r="24" spans="1:17" s="99" customFormat="1" x14ac:dyDescent="0.2">
      <c r="A24" s="21"/>
      <c r="B24" s="392" t="s">
        <v>461</v>
      </c>
      <c r="C24" s="176"/>
      <c r="D24" s="186"/>
      <c r="E24" s="153"/>
      <c r="F24" s="49" t="s">
        <v>129</v>
      </c>
      <c r="G24" s="153"/>
      <c r="H24" s="170" t="s">
        <v>129</v>
      </c>
      <c r="I24" s="153">
        <v>0</v>
      </c>
      <c r="J24" s="53" t="s">
        <v>129</v>
      </c>
      <c r="K24" s="282" t="s">
        <v>129</v>
      </c>
      <c r="L24" s="63">
        <v>85000</v>
      </c>
      <c r="N24"/>
      <c r="O24"/>
      <c r="P24"/>
      <c r="Q24"/>
    </row>
    <row r="25" spans="1:17" s="99" customFormat="1" x14ac:dyDescent="0.2">
      <c r="A25" s="21"/>
      <c r="B25" s="392" t="s">
        <v>424</v>
      </c>
      <c r="C25" s="176">
        <v>0</v>
      </c>
      <c r="D25" s="186">
        <v>0</v>
      </c>
      <c r="E25" s="153">
        <v>241101</v>
      </c>
      <c r="F25" s="49" t="s">
        <v>129</v>
      </c>
      <c r="G25" s="153">
        <v>241101</v>
      </c>
      <c r="H25" s="170">
        <f t="shared" ref="H25:H29" si="9">+G25/E25</f>
        <v>1</v>
      </c>
      <c r="I25" s="153">
        <v>0</v>
      </c>
      <c r="J25" s="53" t="s">
        <v>129</v>
      </c>
      <c r="K25" s="282" t="s">
        <v>129</v>
      </c>
      <c r="L25" s="63">
        <v>85005</v>
      </c>
      <c r="M25"/>
      <c r="N25"/>
      <c r="O25"/>
      <c r="P25"/>
      <c r="Q25"/>
    </row>
    <row r="26" spans="1:17" s="99" customFormat="1" x14ac:dyDescent="0.2">
      <c r="A26" s="21"/>
      <c r="B26" s="21" t="s">
        <v>523</v>
      </c>
      <c r="C26" s="176">
        <v>0</v>
      </c>
      <c r="D26" s="186">
        <v>113573000.87</v>
      </c>
      <c r="E26" s="153">
        <v>0</v>
      </c>
      <c r="F26" s="49" t="s">
        <v>129</v>
      </c>
      <c r="G26" s="153">
        <v>0</v>
      </c>
      <c r="H26" s="170" t="s">
        <v>129</v>
      </c>
      <c r="I26" s="153">
        <v>0</v>
      </c>
      <c r="J26" s="53" t="s">
        <v>129</v>
      </c>
      <c r="K26" s="102" t="s">
        <v>129</v>
      </c>
      <c r="L26" s="63" t="s">
        <v>358</v>
      </c>
      <c r="M26"/>
      <c r="N26"/>
      <c r="O26"/>
      <c r="P26"/>
      <c r="Q26"/>
    </row>
    <row r="27" spans="1:17" s="99" customFormat="1" x14ac:dyDescent="0.2">
      <c r="A27" s="21"/>
      <c r="B27" s="21" t="s">
        <v>412</v>
      </c>
      <c r="C27" s="176">
        <v>0</v>
      </c>
      <c r="D27" s="186">
        <v>3040193.63</v>
      </c>
      <c r="E27" s="153">
        <v>0</v>
      </c>
      <c r="F27" s="49" t="s">
        <v>129</v>
      </c>
      <c r="G27" s="153">
        <v>0</v>
      </c>
      <c r="H27" s="170" t="s">
        <v>129</v>
      </c>
      <c r="I27" s="153">
        <v>0</v>
      </c>
      <c r="J27" s="53" t="s">
        <v>129</v>
      </c>
      <c r="K27" s="102" t="s">
        <v>129</v>
      </c>
      <c r="L27" s="63" t="s">
        <v>359</v>
      </c>
      <c r="M27"/>
      <c r="N27"/>
      <c r="O27"/>
      <c r="P27"/>
      <c r="Q27"/>
    </row>
    <row r="28" spans="1:17" ht="15" customHeight="1" x14ac:dyDescent="0.2">
      <c r="A28" s="21"/>
      <c r="B28" s="21" t="s">
        <v>230</v>
      </c>
      <c r="C28" s="176">
        <v>150000</v>
      </c>
      <c r="D28" s="186">
        <v>150000</v>
      </c>
      <c r="E28" s="153">
        <v>-248.52</v>
      </c>
      <c r="F28" s="49">
        <f>+E28/D28</f>
        <v>-1.6568000000000002E-3</v>
      </c>
      <c r="G28" s="153">
        <v>-248.52</v>
      </c>
      <c r="H28" s="170">
        <f t="shared" si="9"/>
        <v>1</v>
      </c>
      <c r="I28" s="31">
        <v>479415.98</v>
      </c>
      <c r="J28" s="53">
        <v>3.1961065333333334</v>
      </c>
      <c r="K28" s="282">
        <f>+E28/I28-1</f>
        <v>-1.0005183807181397</v>
      </c>
      <c r="L28" s="63">
        <v>94101</v>
      </c>
    </row>
    <row r="29" spans="1:17" ht="15" customHeight="1" x14ac:dyDescent="0.2">
      <c r="A29" s="70"/>
      <c r="B29" s="70" t="s">
        <v>231</v>
      </c>
      <c r="C29" s="195">
        <v>1400000</v>
      </c>
      <c r="D29" s="455">
        <v>1400000</v>
      </c>
      <c r="E29" s="71">
        <v>1454652.09</v>
      </c>
      <c r="F29" s="449">
        <f>+E29/D29</f>
        <v>1.0390372071428573</v>
      </c>
      <c r="G29" s="71">
        <v>1454652.09</v>
      </c>
      <c r="H29" s="484">
        <f t="shared" si="9"/>
        <v>1</v>
      </c>
      <c r="I29" s="197">
        <v>1202833.6599999999</v>
      </c>
      <c r="J29" s="72">
        <v>0.72899009696969697</v>
      </c>
      <c r="K29" s="106">
        <f>+E29/I29-1</f>
        <v>0.20935432585084146</v>
      </c>
      <c r="L29" s="64">
        <v>94102</v>
      </c>
    </row>
    <row r="30" spans="1:17" ht="15" customHeight="1" thickBot="1" x14ac:dyDescent="0.25">
      <c r="A30" s="59"/>
      <c r="B30" s="59" t="s">
        <v>241</v>
      </c>
      <c r="C30" s="176">
        <v>160000000</v>
      </c>
      <c r="D30" s="186">
        <v>160000000</v>
      </c>
      <c r="E30" s="60">
        <v>0</v>
      </c>
      <c r="F30" s="49" t="s">
        <v>129</v>
      </c>
      <c r="G30" s="60">
        <v>0</v>
      </c>
      <c r="H30" s="170" t="s">
        <v>129</v>
      </c>
      <c r="I30" s="198"/>
      <c r="J30" s="61" t="s">
        <v>129</v>
      </c>
      <c r="K30" s="106" t="s">
        <v>129</v>
      </c>
      <c r="L30" s="64" t="s">
        <v>242</v>
      </c>
    </row>
    <row r="31" spans="1:17" s="6" customFormat="1" ht="19.5" customHeight="1" thickBot="1" x14ac:dyDescent="0.25">
      <c r="A31" s="5"/>
      <c r="B31" s="4" t="s">
        <v>206</v>
      </c>
      <c r="C31" s="180">
        <f>SUM(C23:C30)</f>
        <v>166550000</v>
      </c>
      <c r="D31" s="171">
        <f>SUM(D23:D30)</f>
        <v>283163194.5</v>
      </c>
      <c r="E31" s="172">
        <f>SUM(E23:E30)</f>
        <v>6695504.5700000003</v>
      </c>
      <c r="F31" s="199">
        <f>+E31/(D31-D27)</f>
        <v>2.390201643280004E-2</v>
      </c>
      <c r="G31" s="172">
        <f>SUM(G23:G30)</f>
        <v>6695504.5700000003</v>
      </c>
      <c r="H31" s="191">
        <f>+G31/E31</f>
        <v>1</v>
      </c>
      <c r="I31" s="412">
        <f>SUM(I23:I30)</f>
        <v>1682249.64</v>
      </c>
      <c r="J31" s="199">
        <v>5.0000000000000001E-3</v>
      </c>
      <c r="K31" s="103">
        <f>+E31/I31-1</f>
        <v>2.980089762420755</v>
      </c>
      <c r="L31" s="14"/>
      <c r="M31"/>
      <c r="N31"/>
      <c r="O31"/>
      <c r="P31"/>
      <c r="Q31"/>
    </row>
    <row r="32" spans="1:17" x14ac:dyDescent="0.2">
      <c r="B32" s="285"/>
    </row>
    <row r="36" spans="2:2" x14ac:dyDescent="0.2">
      <c r="B36" s="47"/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zoomScaleNormal="100" workbookViewId="0">
      <selection activeCell="K20" sqref="K20"/>
    </sheetView>
  </sheetViews>
  <sheetFormatPr defaultColWidth="11.42578125" defaultRowHeight="12.75" x14ac:dyDescent="0.2"/>
  <cols>
    <col min="1" max="1" width="2.7109375" customWidth="1"/>
    <col min="2" max="2" width="45.85546875" customWidth="1"/>
    <col min="3" max="3" width="11.7109375" customWidth="1"/>
    <col min="4" max="4" width="9.5703125" bestFit="1" customWidth="1"/>
    <col min="5" max="5" width="10.140625" bestFit="1" customWidth="1"/>
    <col min="6" max="6" width="9.5703125" style="105" bestFit="1" customWidth="1"/>
    <col min="7" max="7" width="11.140625" bestFit="1" customWidth="1"/>
    <col min="8" max="8" width="7.42578125" style="105" bestFit="1" customWidth="1"/>
    <col min="9" max="9" width="10.42578125" bestFit="1" customWidth="1"/>
    <col min="10" max="10" width="10.5703125" style="105" bestFit="1" customWidth="1"/>
    <col min="11" max="11" width="6.85546875" style="105" customWidth="1"/>
    <col min="12" max="12" width="14.5703125" style="64" bestFit="1" customWidth="1"/>
  </cols>
  <sheetData>
    <row r="2" spans="1:17" x14ac:dyDescent="0.2">
      <c r="F2"/>
      <c r="H2"/>
      <c r="J2"/>
      <c r="K2"/>
      <c r="L2"/>
    </row>
    <row r="3" spans="1:17" ht="15" x14ac:dyDescent="0.25">
      <c r="B3" s="7" t="s">
        <v>229</v>
      </c>
      <c r="F3"/>
      <c r="H3"/>
      <c r="J3"/>
      <c r="K3"/>
      <c r="L3"/>
    </row>
    <row r="4" spans="1:17" ht="15" customHeight="1" x14ac:dyDescent="0.2">
      <c r="F4"/>
      <c r="H4"/>
      <c r="J4"/>
      <c r="K4"/>
      <c r="L4"/>
    </row>
    <row r="5" spans="1:17" ht="15" customHeight="1" x14ac:dyDescent="0.2">
      <c r="F5"/>
      <c r="H5"/>
      <c r="J5"/>
      <c r="K5"/>
      <c r="L5"/>
    </row>
    <row r="6" spans="1:17" ht="15" customHeight="1" x14ac:dyDescent="0.2">
      <c r="F6"/>
      <c r="H6"/>
      <c r="J6"/>
      <c r="K6"/>
      <c r="L6"/>
    </row>
    <row r="7" spans="1:17" ht="15" customHeight="1" x14ac:dyDescent="0.2">
      <c r="F7"/>
      <c r="H7"/>
      <c r="J7"/>
      <c r="K7"/>
      <c r="L7"/>
    </row>
    <row r="8" spans="1:17" ht="15" customHeight="1" x14ac:dyDescent="0.2">
      <c r="F8"/>
      <c r="H8"/>
      <c r="J8"/>
      <c r="K8"/>
      <c r="L8"/>
    </row>
    <row r="9" spans="1:17" ht="15" customHeight="1" x14ac:dyDescent="0.2">
      <c r="F9"/>
      <c r="H9"/>
      <c r="J9"/>
      <c r="K9"/>
      <c r="L9"/>
    </row>
    <row r="10" spans="1:17" ht="15" customHeight="1" x14ac:dyDescent="0.2">
      <c r="F10"/>
      <c r="H10"/>
      <c r="J10"/>
      <c r="K10"/>
      <c r="L10"/>
    </row>
    <row r="11" spans="1:17" ht="15" customHeight="1" x14ac:dyDescent="0.2">
      <c r="F11"/>
      <c r="H11"/>
      <c r="J11"/>
      <c r="K11"/>
      <c r="L11"/>
    </row>
    <row r="12" spans="1:17" ht="15" customHeight="1" x14ac:dyDescent="0.2">
      <c r="F12"/>
      <c r="H12"/>
      <c r="J12"/>
      <c r="K12"/>
      <c r="L12"/>
    </row>
    <row r="13" spans="1:17" ht="15" customHeight="1" x14ac:dyDescent="0.2">
      <c r="F13"/>
      <c r="H13"/>
      <c r="J13"/>
      <c r="K13"/>
      <c r="L13"/>
    </row>
    <row r="14" spans="1:17" ht="15" customHeight="1" x14ac:dyDescent="0.2">
      <c r="F14"/>
      <c r="H14"/>
      <c r="J14"/>
      <c r="K14"/>
      <c r="L14"/>
    </row>
    <row r="15" spans="1:17" ht="15" customHeight="1" x14ac:dyDescent="0.2">
      <c r="F15"/>
      <c r="H15"/>
      <c r="J15"/>
      <c r="K15"/>
      <c r="L15"/>
    </row>
    <row r="16" spans="1:17" s="6" customFormat="1" ht="19.5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">
      <c r="F17"/>
      <c r="H17"/>
      <c r="J17"/>
      <c r="K17"/>
      <c r="L17"/>
    </row>
    <row r="18" spans="1:17" x14ac:dyDescent="0.2">
      <c r="F18"/>
      <c r="H18"/>
      <c r="J18"/>
      <c r="K18"/>
      <c r="L18"/>
    </row>
    <row r="19" spans="1:17" x14ac:dyDescent="0.2">
      <c r="F19"/>
      <c r="H19"/>
      <c r="J19"/>
      <c r="K19"/>
      <c r="L19"/>
    </row>
    <row r="20" spans="1:17" x14ac:dyDescent="0.2">
      <c r="F20"/>
      <c r="H20"/>
      <c r="J20"/>
      <c r="K20"/>
      <c r="L20"/>
    </row>
    <row r="21" spans="1:17" x14ac:dyDescent="0.2">
      <c r="F21"/>
      <c r="H21"/>
      <c r="J21"/>
      <c r="K21"/>
      <c r="L21"/>
    </row>
    <row r="22" spans="1:17" s="99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99" customFormat="1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99" customFormat="1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99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99" customForma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">
      <c r="F27"/>
      <c r="H27"/>
      <c r="J27"/>
      <c r="K27"/>
      <c r="L27"/>
    </row>
    <row r="28" spans="1:17" ht="15" customHeight="1" x14ac:dyDescent="0.2">
      <c r="F28"/>
      <c r="H28"/>
      <c r="J28"/>
      <c r="K28"/>
      <c r="L28"/>
    </row>
    <row r="29" spans="1:17" ht="15" customHeight="1" x14ac:dyDescent="0.2">
      <c r="F29"/>
      <c r="H29"/>
      <c r="J29"/>
      <c r="K29"/>
      <c r="L29"/>
    </row>
    <row r="30" spans="1:17" s="6" customFormat="1" ht="19.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">
      <c r="F31"/>
      <c r="H31"/>
      <c r="J31"/>
      <c r="K31"/>
      <c r="L31"/>
    </row>
    <row r="32" spans="1:17" x14ac:dyDescent="0.2">
      <c r="F32"/>
      <c r="H32"/>
      <c r="J32"/>
      <c r="K32"/>
      <c r="L32"/>
    </row>
    <row r="33" spans="2:12" x14ac:dyDescent="0.2">
      <c r="F33"/>
      <c r="H33"/>
      <c r="J33"/>
      <c r="K33"/>
      <c r="L33"/>
    </row>
    <row r="35" spans="2:12" x14ac:dyDescent="0.2">
      <c r="B35" s="47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36"/>
  <sheetViews>
    <sheetView zoomScaleNormal="100" workbookViewId="0">
      <selection activeCell="D7" sqref="D7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1" spans="1:16" ht="15.75" thickBot="1" x14ac:dyDescent="0.3">
      <c r="A1" s="7" t="s">
        <v>19</v>
      </c>
    </row>
    <row r="2" spans="1:16" x14ac:dyDescent="0.2">
      <c r="A2" s="8" t="s">
        <v>20</v>
      </c>
      <c r="C2" s="181" t="s">
        <v>479</v>
      </c>
      <c r="D2" s="307" t="s">
        <v>148</v>
      </c>
      <c r="E2" s="600" t="s">
        <v>551</v>
      </c>
      <c r="F2" s="601"/>
      <c r="G2" s="601"/>
      <c r="H2" s="601"/>
      <c r="I2" s="601"/>
      <c r="J2" s="601"/>
      <c r="K2" s="601"/>
      <c r="L2" s="601"/>
      <c r="M2" s="602"/>
      <c r="N2" s="598" t="s">
        <v>552</v>
      </c>
      <c r="O2" s="599"/>
      <c r="P2" s="491"/>
    </row>
    <row r="3" spans="1:16" x14ac:dyDescent="0.2">
      <c r="C3" s="174">
        <v>1</v>
      </c>
      <c r="D3" s="165"/>
      <c r="E3" s="165">
        <v>2</v>
      </c>
      <c r="F3" s="95"/>
      <c r="G3" s="95">
        <v>3</v>
      </c>
      <c r="H3" s="96" t="s">
        <v>36</v>
      </c>
      <c r="I3" s="95">
        <v>4</v>
      </c>
      <c r="J3" s="96" t="s">
        <v>37</v>
      </c>
      <c r="K3" s="95">
        <v>5</v>
      </c>
      <c r="L3" s="95"/>
      <c r="M3" s="166" t="s">
        <v>38</v>
      </c>
      <c r="N3" s="95" t="s">
        <v>39</v>
      </c>
      <c r="O3" s="96" t="s">
        <v>40</v>
      </c>
      <c r="P3" s="308" t="s">
        <v>362</v>
      </c>
    </row>
    <row r="4" spans="1:16" ht="25.5" x14ac:dyDescent="0.2">
      <c r="A4" s="1"/>
      <c r="B4" s="2" t="s">
        <v>12</v>
      </c>
      <c r="C4" s="175" t="s">
        <v>13</v>
      </c>
      <c r="D4" s="127" t="s">
        <v>444</v>
      </c>
      <c r="E4" s="127" t="s">
        <v>14</v>
      </c>
      <c r="F4" s="97" t="s">
        <v>445</v>
      </c>
      <c r="G4" s="97" t="s">
        <v>15</v>
      </c>
      <c r="H4" s="97" t="s">
        <v>18</v>
      </c>
      <c r="I4" s="97" t="s">
        <v>16</v>
      </c>
      <c r="J4" s="97" t="s">
        <v>18</v>
      </c>
      <c r="K4" s="97" t="s">
        <v>17</v>
      </c>
      <c r="L4" s="97" t="s">
        <v>446</v>
      </c>
      <c r="M4" s="128" t="s">
        <v>18</v>
      </c>
      <c r="N4" s="97" t="s">
        <v>17</v>
      </c>
      <c r="O4" s="12" t="s">
        <v>18</v>
      </c>
      <c r="P4" s="157" t="s">
        <v>516</v>
      </c>
    </row>
    <row r="5" spans="1:16" ht="15" customHeight="1" x14ac:dyDescent="0.2">
      <c r="A5" s="21">
        <v>1</v>
      </c>
      <c r="B5" s="21" t="s">
        <v>0</v>
      </c>
      <c r="C5" s="176">
        <v>355786464.55000001</v>
      </c>
      <c r="D5" s="300">
        <f>C5/C17</f>
        <v>0.13949312918635584</v>
      </c>
      <c r="E5" s="167">
        <v>360267547.35000002</v>
      </c>
      <c r="F5" s="302">
        <f>E5/E17</f>
        <v>0.13366872563598542</v>
      </c>
      <c r="G5" s="153">
        <v>309779362.23000002</v>
      </c>
      <c r="H5" s="49">
        <f t="shared" ref="H5:H10" si="0">+G5/E5</f>
        <v>0.85985919217155937</v>
      </c>
      <c r="I5" s="153">
        <v>309388278.38</v>
      </c>
      <c r="J5" s="49">
        <f t="shared" ref="J5:J17" si="1">+I5/E5</f>
        <v>0.85877365490105939</v>
      </c>
      <c r="K5" s="153">
        <v>309261927.38999999</v>
      </c>
      <c r="L5" s="302">
        <f>K5/K17</f>
        <v>0.14179430565228207</v>
      </c>
      <c r="M5" s="170">
        <f t="shared" ref="M5:M17" si="2">+K5/E5</f>
        <v>0.85842294057519408</v>
      </c>
      <c r="N5" s="153">
        <v>306890063.92000002</v>
      </c>
      <c r="O5" s="170">
        <v>0.88148759673603549</v>
      </c>
      <c r="P5" s="158">
        <f>+K5/N5-1</f>
        <v>7.7287072761609288E-3</v>
      </c>
    </row>
    <row r="6" spans="1:16" ht="15" customHeight="1" x14ac:dyDescent="0.2">
      <c r="A6" s="23">
        <v>2</v>
      </c>
      <c r="B6" s="23" t="s">
        <v>1</v>
      </c>
      <c r="C6" s="176">
        <v>603468828.02999997</v>
      </c>
      <c r="D6" s="300">
        <f>C6/C17</f>
        <v>0.2366019047261913</v>
      </c>
      <c r="E6" s="167">
        <v>599265337.5</v>
      </c>
      <c r="F6" s="302">
        <f>E6/E17</f>
        <v>0.22234318514296705</v>
      </c>
      <c r="G6" s="153">
        <v>583139830.36000001</v>
      </c>
      <c r="H6" s="321">
        <f t="shared" si="0"/>
        <v>0.97309120663098592</v>
      </c>
      <c r="I6" s="153">
        <v>571105515.88</v>
      </c>
      <c r="J6" s="321">
        <f t="shared" si="1"/>
        <v>0.95300942694687396</v>
      </c>
      <c r="K6" s="153">
        <v>426647544.63999999</v>
      </c>
      <c r="L6" s="488">
        <f>K6/K17</f>
        <v>0.19561474269087792</v>
      </c>
      <c r="M6" s="196">
        <f t="shared" si="2"/>
        <v>0.71195098054540817</v>
      </c>
      <c r="N6" s="150">
        <v>407730563.72000003</v>
      </c>
      <c r="O6" s="196">
        <v>0.72062553673234053</v>
      </c>
      <c r="P6" s="159">
        <f t="shared" ref="P6:P15" si="3">+K6/N6-1</f>
        <v>4.6395788305413355E-2</v>
      </c>
    </row>
    <row r="7" spans="1:16" ht="15" customHeight="1" x14ac:dyDescent="0.2">
      <c r="A7" s="23">
        <v>3</v>
      </c>
      <c r="B7" s="23" t="s">
        <v>2</v>
      </c>
      <c r="C7" s="176">
        <v>34707752.200000003</v>
      </c>
      <c r="D7" s="300">
        <f>C7/C17</f>
        <v>1.3607861579349748E-2</v>
      </c>
      <c r="E7" s="167">
        <v>24898176.73</v>
      </c>
      <c r="F7" s="302">
        <f>E7/E17</f>
        <v>9.2378777345864839E-3</v>
      </c>
      <c r="G7" s="153">
        <v>23363547.23</v>
      </c>
      <c r="H7" s="321">
        <f t="shared" si="0"/>
        <v>0.93836377994092579</v>
      </c>
      <c r="I7" s="153">
        <v>23363547.23</v>
      </c>
      <c r="J7" s="321">
        <f t="shared" si="1"/>
        <v>0.93836377994092579</v>
      </c>
      <c r="K7" s="153">
        <v>23363547.23</v>
      </c>
      <c r="L7" s="488">
        <f>K7/K17</f>
        <v>1.07120135511361E-2</v>
      </c>
      <c r="M7" s="196">
        <f t="shared" si="2"/>
        <v>0.93836377994092579</v>
      </c>
      <c r="N7" s="150">
        <v>29625689.170000002</v>
      </c>
      <c r="O7" s="196">
        <v>0.75413463046502349</v>
      </c>
      <c r="P7" s="159">
        <f t="shared" si="3"/>
        <v>-0.21137540139796185</v>
      </c>
    </row>
    <row r="8" spans="1:16" ht="15" customHeight="1" x14ac:dyDescent="0.2">
      <c r="A8" s="23">
        <v>4</v>
      </c>
      <c r="B8" s="23" t="s">
        <v>3</v>
      </c>
      <c r="C8" s="176">
        <v>995669824.77999997</v>
      </c>
      <c r="D8" s="419">
        <f>C8/C17</f>
        <v>0.39037207239083771</v>
      </c>
      <c r="E8" s="167">
        <v>1070434660.3</v>
      </c>
      <c r="F8" s="488">
        <f>E8/E17</f>
        <v>0.39715938327324318</v>
      </c>
      <c r="G8" s="153">
        <v>972002552.55999994</v>
      </c>
      <c r="H8" s="321">
        <f t="shared" si="0"/>
        <v>0.90804473043463163</v>
      </c>
      <c r="I8" s="153">
        <v>969724748.75999999</v>
      </c>
      <c r="J8" s="321">
        <f t="shared" si="1"/>
        <v>0.9059168062516072</v>
      </c>
      <c r="K8" s="153">
        <v>924967718.15999997</v>
      </c>
      <c r="L8" s="488">
        <f>K8/K17</f>
        <v>0.42409085545754072</v>
      </c>
      <c r="M8" s="508">
        <f t="shared" si="2"/>
        <v>0.86410479075926838</v>
      </c>
      <c r="N8" s="150">
        <v>848854113.19000006</v>
      </c>
      <c r="O8" s="196">
        <v>0.88356200862705725</v>
      </c>
      <c r="P8" s="159">
        <f t="shared" si="3"/>
        <v>8.9666296937602752E-2</v>
      </c>
    </row>
    <row r="9" spans="1:16" ht="15" customHeight="1" x14ac:dyDescent="0.2">
      <c r="A9" s="59">
        <v>5</v>
      </c>
      <c r="B9" s="59" t="s">
        <v>464</v>
      </c>
      <c r="C9" s="176">
        <v>6477736.8899999997</v>
      </c>
      <c r="D9" s="420">
        <f>C9/C17</f>
        <v>2.5397250285360603E-3</v>
      </c>
      <c r="E9" s="167">
        <v>107259</v>
      </c>
      <c r="F9" s="306" t="s">
        <v>129</v>
      </c>
      <c r="G9" s="153">
        <v>0</v>
      </c>
      <c r="H9" s="86" t="s">
        <v>129</v>
      </c>
      <c r="I9" s="153">
        <v>0</v>
      </c>
      <c r="J9" s="86" t="s">
        <v>129</v>
      </c>
      <c r="K9" s="153">
        <v>0</v>
      </c>
      <c r="L9" s="306" t="s">
        <v>129</v>
      </c>
      <c r="M9" s="190" t="s">
        <v>129</v>
      </c>
      <c r="N9" s="60">
        <v>0</v>
      </c>
      <c r="O9" s="190">
        <v>0</v>
      </c>
      <c r="P9" s="183" t="s">
        <v>129</v>
      </c>
    </row>
    <row r="10" spans="1:16" ht="15" customHeight="1" x14ac:dyDescent="0.2">
      <c r="A10" s="9"/>
      <c r="B10" s="2" t="s">
        <v>4</v>
      </c>
      <c r="C10" s="179">
        <f>SUM(C5:C9)</f>
        <v>1996110606.45</v>
      </c>
      <c r="D10" s="299">
        <f>C10/C17</f>
        <v>0.78261469291127073</v>
      </c>
      <c r="E10" s="169">
        <f>SUM(E5:E9)</f>
        <v>2054972980.8800001</v>
      </c>
      <c r="F10" s="303">
        <f>E10/E17</f>
        <v>0.76244896769387527</v>
      </c>
      <c r="G10" s="92">
        <f>SUM(G5:G9)</f>
        <v>1888285292.3800001</v>
      </c>
      <c r="H10" s="98">
        <f t="shared" si="0"/>
        <v>0.9188857030963884</v>
      </c>
      <c r="I10" s="92">
        <f>SUM(I5:I9)</f>
        <v>1873582090.25</v>
      </c>
      <c r="J10" s="98">
        <f t="shared" si="1"/>
        <v>0.9117307661377021</v>
      </c>
      <c r="K10" s="92">
        <f>SUM(K5:K8)</f>
        <v>1684240737.4200001</v>
      </c>
      <c r="L10" s="303">
        <f>K10/K17</f>
        <v>0.77221191735183692</v>
      </c>
      <c r="M10" s="188">
        <f t="shared" si="2"/>
        <v>0.81959264335376247</v>
      </c>
      <c r="N10" s="92">
        <f>SUM(N5:N9)</f>
        <v>1593100430</v>
      </c>
      <c r="O10" s="98">
        <v>0.83199999999999996</v>
      </c>
      <c r="P10" s="161">
        <f t="shared" si="3"/>
        <v>5.7209392266625692E-2</v>
      </c>
    </row>
    <row r="11" spans="1:16" ht="15" customHeight="1" x14ac:dyDescent="0.2">
      <c r="A11" s="21">
        <v>6</v>
      </c>
      <c r="B11" s="21" t="s">
        <v>5</v>
      </c>
      <c r="C11" s="176">
        <v>352109003.55000001</v>
      </c>
      <c r="D11" s="300">
        <f>C11/C17</f>
        <v>0.13805130777530356</v>
      </c>
      <c r="E11" s="167">
        <v>416915241.86000001</v>
      </c>
      <c r="F11" s="302">
        <f>E11/E17</f>
        <v>0.15468650864493372</v>
      </c>
      <c r="G11" s="153">
        <v>349443471.68000001</v>
      </c>
      <c r="H11" s="49">
        <f t="shared" ref="H11:H17" si="4">+G11/E11</f>
        <v>0.83816429958524519</v>
      </c>
      <c r="I11" s="153">
        <v>348190048.52999997</v>
      </c>
      <c r="J11" s="49">
        <f t="shared" si="1"/>
        <v>0.8351578775978693</v>
      </c>
      <c r="K11" s="153">
        <v>294386108.05000001</v>
      </c>
      <c r="L11" s="302">
        <f>K11/K17</f>
        <v>0.13497385254275945</v>
      </c>
      <c r="M11" s="170">
        <f t="shared" si="2"/>
        <v>0.70610541062649557</v>
      </c>
      <c r="N11" s="153">
        <v>281685186.62</v>
      </c>
      <c r="O11" s="170">
        <v>0.62406887839072533</v>
      </c>
      <c r="P11" s="158">
        <f t="shared" si="3"/>
        <v>4.508906408036939E-2</v>
      </c>
    </row>
    <row r="12" spans="1:16" ht="15" customHeight="1" x14ac:dyDescent="0.2">
      <c r="A12" s="25">
        <v>7</v>
      </c>
      <c r="B12" s="25" t="s">
        <v>6</v>
      </c>
      <c r="C12" s="176">
        <v>21741338.550000001</v>
      </c>
      <c r="D12" s="301">
        <f>C12/C17</f>
        <v>8.5241223295981858E-3</v>
      </c>
      <c r="E12" s="167">
        <v>42733413.719999999</v>
      </c>
      <c r="F12" s="304">
        <f>E12/E17</f>
        <v>1.585521925592262E-2</v>
      </c>
      <c r="G12" s="153">
        <v>31175966.43</v>
      </c>
      <c r="H12" s="456">
        <f t="shared" si="4"/>
        <v>0.72954542396899813</v>
      </c>
      <c r="I12" s="153">
        <v>30975966.43</v>
      </c>
      <c r="J12" s="456">
        <f t="shared" si="1"/>
        <v>0.72486524556550225</v>
      </c>
      <c r="K12" s="153">
        <v>27743913.690000001</v>
      </c>
      <c r="L12" s="304">
        <f>K12/K17</f>
        <v>1.2720379165164568E-2</v>
      </c>
      <c r="M12" s="458">
        <f t="shared" si="2"/>
        <v>0.64923232840196321</v>
      </c>
      <c r="N12" s="154">
        <v>40708585.909999996</v>
      </c>
      <c r="O12" s="458">
        <v>0.24566752617402793</v>
      </c>
      <c r="P12" s="158">
        <f t="shared" si="3"/>
        <v>-0.31847513074177414</v>
      </c>
    </row>
    <row r="13" spans="1:16" ht="15" customHeight="1" x14ac:dyDescent="0.2">
      <c r="A13" s="9"/>
      <c r="B13" s="2" t="s">
        <v>7</v>
      </c>
      <c r="C13" s="179">
        <f>SUM(C11:C12)</f>
        <v>373850342.10000002</v>
      </c>
      <c r="D13" s="299">
        <f>C13/C17</f>
        <v>0.14657543010490173</v>
      </c>
      <c r="E13" s="169">
        <f>SUM(E11:E12)</f>
        <v>459648655.58000004</v>
      </c>
      <c r="F13" s="303">
        <f>E13/E17</f>
        <v>0.17054172790085637</v>
      </c>
      <c r="G13" s="92">
        <f>SUM(G11:G12)</f>
        <v>380619438.11000001</v>
      </c>
      <c r="H13" s="98">
        <f t="shared" si="4"/>
        <v>0.82806603149904068</v>
      </c>
      <c r="I13" s="92">
        <f>SUM(I11:I12)</f>
        <v>379166014.95999998</v>
      </c>
      <c r="J13" s="98">
        <f t="shared" si="1"/>
        <v>0.82490400082113935</v>
      </c>
      <c r="K13" s="92">
        <f>SUM(K11:K12)</f>
        <v>322130021.74000001</v>
      </c>
      <c r="L13" s="303">
        <f>K13/K17</f>
        <v>0.14769423170792401</v>
      </c>
      <c r="M13" s="188">
        <f t="shared" si="2"/>
        <v>0.70081793524126723</v>
      </c>
      <c r="N13" s="92">
        <f>SUM(N11:N12)</f>
        <v>322393772.52999997</v>
      </c>
      <c r="O13" s="98">
        <v>0.52200000000000002</v>
      </c>
      <c r="P13" s="161">
        <f>+K13/N13-1</f>
        <v>-8.1810137934790195E-4</v>
      </c>
    </row>
    <row r="14" spans="1:16" ht="15" customHeight="1" x14ac:dyDescent="0.2">
      <c r="A14" s="21">
        <v>8</v>
      </c>
      <c r="B14" s="21" t="s">
        <v>8</v>
      </c>
      <c r="C14" s="176">
        <v>21421544.140000001</v>
      </c>
      <c r="D14" s="300">
        <f>C14/C17</f>
        <v>8.3987405981609704E-3</v>
      </c>
      <c r="E14" s="167">
        <v>21421544.140000001</v>
      </c>
      <c r="F14" s="302">
        <f>E14/E17</f>
        <v>7.9479556996207238E-3</v>
      </c>
      <c r="G14" s="153">
        <v>16312694.66</v>
      </c>
      <c r="H14" s="49">
        <f t="shared" si="4"/>
        <v>0.76150881343514576</v>
      </c>
      <c r="I14" s="153">
        <v>16312694.66</v>
      </c>
      <c r="J14" s="49">
        <f t="shared" si="1"/>
        <v>0.76150881343514576</v>
      </c>
      <c r="K14" s="153">
        <v>16312694.66</v>
      </c>
      <c r="L14" s="302">
        <f>K14/K17</f>
        <v>7.4792498131057766E-3</v>
      </c>
      <c r="M14" s="170">
        <f t="shared" si="2"/>
        <v>0.76150881343514576</v>
      </c>
      <c r="N14" s="153">
        <v>14882444.140000001</v>
      </c>
      <c r="O14" s="170">
        <v>0.39946599791580101</v>
      </c>
      <c r="P14" s="158">
        <f>+K14/N14-1</f>
        <v>9.6103200962526891E-2</v>
      </c>
    </row>
    <row r="15" spans="1:16" ht="15" customHeight="1" x14ac:dyDescent="0.2">
      <c r="A15" s="25">
        <v>9</v>
      </c>
      <c r="B15" s="25" t="s">
        <v>9</v>
      </c>
      <c r="C15" s="176">
        <v>159183736.81</v>
      </c>
      <c r="D15" s="301">
        <f>C15/C17</f>
        <v>6.2411136385666637E-2</v>
      </c>
      <c r="E15" s="167">
        <v>159183736.81</v>
      </c>
      <c r="F15" s="304">
        <f>E15/E17</f>
        <v>5.9061348705647727E-2</v>
      </c>
      <c r="G15" s="153">
        <v>158376821.96000001</v>
      </c>
      <c r="H15" s="456">
        <f t="shared" si="4"/>
        <v>0.99493092154908314</v>
      </c>
      <c r="I15" s="153">
        <v>158376821.96000001</v>
      </c>
      <c r="J15" s="456">
        <f t="shared" si="1"/>
        <v>0.99493092154908314</v>
      </c>
      <c r="K15" s="153">
        <v>158376821.96000001</v>
      </c>
      <c r="L15" s="304">
        <f>K15/K17</f>
        <v>7.2614601127133277E-2</v>
      </c>
      <c r="M15" s="458">
        <f t="shared" si="2"/>
        <v>0.99493092154908314</v>
      </c>
      <c r="N15" s="154">
        <v>130634455.12</v>
      </c>
      <c r="O15" s="458">
        <v>0.99344633952342531</v>
      </c>
      <c r="P15" s="160">
        <f t="shared" si="3"/>
        <v>0.21236638384962103</v>
      </c>
    </row>
    <row r="16" spans="1:16" ht="15" customHeight="1" thickBot="1" x14ac:dyDescent="0.25">
      <c r="A16" s="9"/>
      <c r="B16" s="2" t="s">
        <v>10</v>
      </c>
      <c r="C16" s="179">
        <f>SUM(C14:C15)</f>
        <v>180605280.94999999</v>
      </c>
      <c r="D16" s="299">
        <f>C16/C17</f>
        <v>7.0809876983827597E-2</v>
      </c>
      <c r="E16" s="169">
        <f>SUM(E14:E15)</f>
        <v>180605280.94999999</v>
      </c>
      <c r="F16" s="303">
        <f>E16/E17</f>
        <v>6.7009304405268449E-2</v>
      </c>
      <c r="G16" s="92">
        <f>SUM(G14:G15)</f>
        <v>174689516.62</v>
      </c>
      <c r="H16" s="98">
        <f t="shared" si="4"/>
        <v>0.96724478764473254</v>
      </c>
      <c r="I16" s="92">
        <f>SUM(I14:I15)</f>
        <v>174689516.62</v>
      </c>
      <c r="J16" s="98">
        <f t="shared" si="1"/>
        <v>0.96724478764473254</v>
      </c>
      <c r="K16" s="92">
        <f>SUM(K14:K15)</f>
        <v>174689516.62</v>
      </c>
      <c r="L16" s="303">
        <f>K16/K17</f>
        <v>8.0093850940239047E-2</v>
      </c>
      <c r="M16" s="188">
        <f t="shared" si="2"/>
        <v>0.96724478764473254</v>
      </c>
      <c r="N16" s="92">
        <f>SUM(N14:N15)</f>
        <v>145516899.25999999</v>
      </c>
      <c r="O16" s="98">
        <v>0.86199999999999999</v>
      </c>
      <c r="P16" s="161">
        <f>+K16/N16-1</f>
        <v>0.20047580389873687</v>
      </c>
    </row>
    <row r="17" spans="1:16" s="6" customFormat="1" ht="19.5" customHeight="1" thickBot="1" x14ac:dyDescent="0.25">
      <c r="A17" s="5"/>
      <c r="B17" s="4" t="s">
        <v>11</v>
      </c>
      <c r="C17" s="180">
        <f>+C10+C13+C16</f>
        <v>2550566229.5</v>
      </c>
      <c r="D17" s="486"/>
      <c r="E17" s="171">
        <f>+E10+E13+E16</f>
        <v>2695226917.4099998</v>
      </c>
      <c r="F17" s="305"/>
      <c r="G17" s="172">
        <f>+G10+G13+G16</f>
        <v>2443594247.1100001</v>
      </c>
      <c r="H17" s="199">
        <f t="shared" si="4"/>
        <v>0.90663766799204859</v>
      </c>
      <c r="I17" s="172">
        <f>+I10+I13+I16</f>
        <v>2427437621.8299999</v>
      </c>
      <c r="J17" s="199">
        <f t="shared" si="1"/>
        <v>0.90064313551849873</v>
      </c>
      <c r="K17" s="172">
        <f>+K10+K13+K16</f>
        <v>2181060275.7800002</v>
      </c>
      <c r="L17" s="305"/>
      <c r="M17" s="191">
        <f t="shared" si="2"/>
        <v>0.80923066688422207</v>
      </c>
      <c r="N17" s="164">
        <f>N10+N13+N16</f>
        <v>2061011101.79</v>
      </c>
      <c r="O17" s="490">
        <v>0.76300000000000001</v>
      </c>
      <c r="P17" s="163">
        <f>+K17/N17-1</f>
        <v>5.8247708557094491E-2</v>
      </c>
    </row>
    <row r="18" spans="1:16" x14ac:dyDescent="0.2">
      <c r="E18" s="47"/>
      <c r="G18" s="47"/>
      <c r="I18" s="47"/>
      <c r="K18" s="47"/>
    </row>
    <row r="19" spans="1:16" x14ac:dyDescent="0.2">
      <c r="A19" s="8" t="s">
        <v>553</v>
      </c>
      <c r="E19" s="294"/>
      <c r="F19" s="489"/>
      <c r="G19" s="294"/>
      <c r="H19" s="489"/>
      <c r="K19" s="597"/>
      <c r="L19" s="597"/>
    </row>
    <row r="20" spans="1:16" x14ac:dyDescent="0.2">
      <c r="C20" s="14"/>
      <c r="D20" s="14"/>
      <c r="E20" s="14"/>
      <c r="F20" s="15"/>
      <c r="G20" s="14"/>
      <c r="H20" s="15"/>
      <c r="I20" s="14"/>
      <c r="J20" s="15"/>
      <c r="N20" s="95"/>
      <c r="O20" s="96"/>
    </row>
    <row r="21" spans="1:16" ht="38.25" x14ac:dyDescent="0.2">
      <c r="A21" s="1"/>
      <c r="B21" s="2" t="s">
        <v>12</v>
      </c>
      <c r="C21" s="3" t="s">
        <v>544</v>
      </c>
      <c r="D21" s="3" t="s">
        <v>453</v>
      </c>
      <c r="E21" s="3" t="s">
        <v>353</v>
      </c>
      <c r="F21" s="3"/>
      <c r="G21" s="3" t="s">
        <v>354</v>
      </c>
      <c r="H21" s="3"/>
      <c r="I21" s="3" t="s">
        <v>355</v>
      </c>
      <c r="J21" s="3"/>
      <c r="K21" s="97" t="s">
        <v>425</v>
      </c>
      <c r="L21" s="97" t="s">
        <v>449</v>
      </c>
      <c r="M21" s="97" t="s">
        <v>411</v>
      </c>
      <c r="N21" s="62"/>
      <c r="O21" s="97" t="s">
        <v>356</v>
      </c>
      <c r="P21" s="97" t="s">
        <v>18</v>
      </c>
    </row>
    <row r="22" spans="1:16" x14ac:dyDescent="0.2">
      <c r="A22" s="21">
        <v>1</v>
      </c>
      <c r="B22" s="21" t="s">
        <v>0</v>
      </c>
      <c r="C22" s="22">
        <v>91000</v>
      </c>
      <c r="D22" s="153">
        <v>0</v>
      </c>
      <c r="E22" s="150">
        <v>36440563.890000001</v>
      </c>
      <c r="F22" s="49"/>
      <c r="G22" s="150">
        <v>35950481.090000004</v>
      </c>
      <c r="H22" s="49"/>
      <c r="I22" s="22">
        <v>0</v>
      </c>
      <c r="J22" s="49"/>
      <c r="K22" s="31">
        <v>3900000</v>
      </c>
      <c r="L22" s="31">
        <v>0</v>
      </c>
      <c r="M22" s="31">
        <v>0</v>
      </c>
      <c r="N22" s="387"/>
      <c r="O22" s="150">
        <v>4481082.8</v>
      </c>
      <c r="P22" s="49">
        <f t="shared" ref="P22:P34" si="5">O22/C5</f>
        <v>1.259486587177421E-2</v>
      </c>
    </row>
    <row r="23" spans="1:16" x14ac:dyDescent="0.2">
      <c r="A23" s="23">
        <v>2</v>
      </c>
      <c r="B23" s="23" t="s">
        <v>1</v>
      </c>
      <c r="C23" s="24">
        <v>1538735.6</v>
      </c>
      <c r="D23" s="150">
        <v>0</v>
      </c>
      <c r="E23" s="24">
        <v>5555083.0899999999</v>
      </c>
      <c r="F23" s="321"/>
      <c r="G23" s="150">
        <v>17744058.710000001</v>
      </c>
      <c r="H23" s="321"/>
      <c r="I23" s="24">
        <v>2229550.44</v>
      </c>
      <c r="J23" s="321"/>
      <c r="K23" s="33">
        <v>4217199.05</v>
      </c>
      <c r="L23" s="33">
        <v>0</v>
      </c>
      <c r="M23" s="33">
        <v>0</v>
      </c>
      <c r="N23" s="150"/>
      <c r="O23" s="150">
        <v>-4203490.53</v>
      </c>
      <c r="P23" s="49">
        <f t="shared" si="5"/>
        <v>-6.9655470751026662E-3</v>
      </c>
    </row>
    <row r="24" spans="1:16" x14ac:dyDescent="0.2">
      <c r="A24" s="23">
        <v>3</v>
      </c>
      <c r="B24" s="23" t="s">
        <v>2</v>
      </c>
      <c r="C24" s="24">
        <v>0</v>
      </c>
      <c r="D24" s="150">
        <v>0</v>
      </c>
      <c r="E24" s="150">
        <v>0</v>
      </c>
      <c r="F24" s="321"/>
      <c r="G24" s="24">
        <v>10500000</v>
      </c>
      <c r="H24" s="321"/>
      <c r="I24" s="24">
        <v>0</v>
      </c>
      <c r="J24" s="321"/>
      <c r="K24" s="33">
        <v>690424.53</v>
      </c>
      <c r="L24" s="33">
        <v>0</v>
      </c>
      <c r="M24" s="33">
        <v>0</v>
      </c>
      <c r="N24" s="150"/>
      <c r="O24" s="150">
        <v>-9809575.4700000007</v>
      </c>
      <c r="P24" s="49">
        <f t="shared" si="5"/>
        <v>-0.28263355729501838</v>
      </c>
    </row>
    <row r="25" spans="1:16" x14ac:dyDescent="0.2">
      <c r="A25" s="23">
        <v>4</v>
      </c>
      <c r="B25" s="23" t="s">
        <v>3</v>
      </c>
      <c r="C25" s="150">
        <v>6772148.4000000004</v>
      </c>
      <c r="D25" s="150">
        <v>0</v>
      </c>
      <c r="E25" s="150">
        <v>73967013.310000002</v>
      </c>
      <c r="F25" s="321"/>
      <c r="G25" s="150">
        <v>31693440.530000001</v>
      </c>
      <c r="H25" s="321"/>
      <c r="I25" s="150">
        <v>2130077.14</v>
      </c>
      <c r="J25" s="321"/>
      <c r="K25" s="33">
        <v>18461037.199999999</v>
      </c>
      <c r="L25" s="33">
        <v>5128000</v>
      </c>
      <c r="M25" s="560">
        <v>0</v>
      </c>
      <c r="N25" s="533"/>
      <c r="O25" s="150">
        <v>74764835.519999996</v>
      </c>
      <c r="P25" s="321">
        <f t="shared" si="5"/>
        <v>7.5089988326722465E-2</v>
      </c>
    </row>
    <row r="26" spans="1:16" x14ac:dyDescent="0.2">
      <c r="A26" s="59">
        <v>5</v>
      </c>
      <c r="B26" s="59" t="s">
        <v>464</v>
      </c>
      <c r="C26" s="60">
        <v>0</v>
      </c>
      <c r="D26" s="60">
        <v>0</v>
      </c>
      <c r="E26" s="150">
        <v>0</v>
      </c>
      <c r="F26" s="86"/>
      <c r="G26" s="153">
        <v>6370477.8899999997</v>
      </c>
      <c r="H26" s="86"/>
      <c r="I26" s="60">
        <v>0</v>
      </c>
      <c r="J26" s="86"/>
      <c r="K26" s="198">
        <v>0</v>
      </c>
      <c r="L26" s="198">
        <v>0</v>
      </c>
      <c r="M26" s="561">
        <v>0</v>
      </c>
      <c r="N26" s="388"/>
      <c r="O26" s="153">
        <v>-6370477.8899999997</v>
      </c>
      <c r="P26" s="86">
        <f t="shared" si="5"/>
        <v>-0.98344190234623752</v>
      </c>
    </row>
    <row r="27" spans="1:16" x14ac:dyDescent="0.2">
      <c r="A27" s="9"/>
      <c r="B27" s="2" t="s">
        <v>4</v>
      </c>
      <c r="C27" s="19">
        <f>SUM(C22:C26)</f>
        <v>8401884</v>
      </c>
      <c r="D27" s="19">
        <f>SUM(D22:D26)</f>
        <v>0</v>
      </c>
      <c r="E27" s="19">
        <f>SUM(E22:E26)</f>
        <v>115962660.29000001</v>
      </c>
      <c r="F27" s="45"/>
      <c r="G27" s="19">
        <f>SUM(G22:G26)</f>
        <v>102258458.22000001</v>
      </c>
      <c r="H27" s="45"/>
      <c r="I27" s="19">
        <f>SUM(I22:I26)</f>
        <v>4359627.58</v>
      </c>
      <c r="J27" s="45"/>
      <c r="K27" s="562">
        <f>SUM(K22:K26)</f>
        <v>27268660.780000001</v>
      </c>
      <c r="L27" s="562">
        <f>SUM(L22:L26)</f>
        <v>5128000</v>
      </c>
      <c r="M27" s="562">
        <f>SUM(M22:M26)</f>
        <v>0</v>
      </c>
      <c r="N27" s="139"/>
      <c r="O27" s="92">
        <f>+C27+D27+E27-G27+I27+K27-M27+L27</f>
        <v>58862374.429999992</v>
      </c>
      <c r="P27" s="98">
        <f t="shared" si="5"/>
        <v>2.9488533470940412E-2</v>
      </c>
    </row>
    <row r="28" spans="1:16" x14ac:dyDescent="0.2">
      <c r="A28" s="21">
        <v>6</v>
      </c>
      <c r="B28" s="21" t="s">
        <v>5</v>
      </c>
      <c r="C28" s="22">
        <v>14651829.25</v>
      </c>
      <c r="D28" s="153">
        <v>0</v>
      </c>
      <c r="E28" s="150">
        <v>89607398.689999998</v>
      </c>
      <c r="F28" s="49"/>
      <c r="G28" s="150">
        <v>119017852.62</v>
      </c>
      <c r="H28" s="49"/>
      <c r="I28" s="22">
        <v>5039515.04</v>
      </c>
      <c r="J28" s="49"/>
      <c r="K28" s="198">
        <v>33429266.600000001</v>
      </c>
      <c r="L28" s="198">
        <v>41096081.350000001</v>
      </c>
      <c r="M28" s="31">
        <v>0</v>
      </c>
      <c r="N28" s="153"/>
      <c r="O28" s="150">
        <v>64806238.310000002</v>
      </c>
      <c r="P28" s="49">
        <f t="shared" si="5"/>
        <v>0.18405163644387587</v>
      </c>
    </row>
    <row r="29" spans="1:16" x14ac:dyDescent="0.2">
      <c r="A29" s="25">
        <v>7</v>
      </c>
      <c r="B29" s="25" t="s">
        <v>6</v>
      </c>
      <c r="C29" s="26">
        <v>0</v>
      </c>
      <c r="D29" s="154">
        <v>0</v>
      </c>
      <c r="E29" s="60">
        <v>24538248.649999999</v>
      </c>
      <c r="F29" s="456"/>
      <c r="G29" s="60">
        <v>8831996.7899999991</v>
      </c>
      <c r="H29" s="456"/>
      <c r="I29" s="26">
        <v>1285823.31</v>
      </c>
      <c r="J29" s="456"/>
      <c r="K29" s="35">
        <v>0</v>
      </c>
      <c r="L29" s="35">
        <v>4000000</v>
      </c>
      <c r="M29" s="561">
        <v>0</v>
      </c>
      <c r="N29" s="388"/>
      <c r="O29" s="150">
        <v>20992075.170000002</v>
      </c>
      <c r="P29" s="304">
        <f t="shared" si="5"/>
        <v>0.96553738500153208</v>
      </c>
    </row>
    <row r="30" spans="1:16" x14ac:dyDescent="0.2">
      <c r="A30" s="9"/>
      <c r="B30" s="2" t="s">
        <v>7</v>
      </c>
      <c r="C30" s="19">
        <f>SUM(C28:C29)</f>
        <v>14651829.25</v>
      </c>
      <c r="D30" s="19">
        <f>SUM(D28:D29)</f>
        <v>0</v>
      </c>
      <c r="E30" s="19">
        <f>SUM(E28:E29)</f>
        <v>114145647.34</v>
      </c>
      <c r="F30" s="45"/>
      <c r="G30" s="19">
        <f>SUM(G28:G29)</f>
        <v>127849849.41</v>
      </c>
      <c r="H30" s="45"/>
      <c r="I30" s="19">
        <f>SUM(I28:I29)</f>
        <v>6325338.3499999996</v>
      </c>
      <c r="J30" s="45"/>
      <c r="K30" s="562">
        <f>SUM(K28:K29)</f>
        <v>33429266.600000001</v>
      </c>
      <c r="L30" s="562">
        <f>SUM(L28:L29)</f>
        <v>45096081.350000001</v>
      </c>
      <c r="M30" s="562">
        <f>SUM(M28:M29)</f>
        <v>0</v>
      </c>
      <c r="N30" s="139"/>
      <c r="O30" s="92">
        <f>+C30+D30+E30-G30+I30+K30-M30+L30</f>
        <v>85798313.480000019</v>
      </c>
      <c r="P30" s="98">
        <f t="shared" si="5"/>
        <v>0.22949909045970621</v>
      </c>
    </row>
    <row r="31" spans="1:16" x14ac:dyDescent="0.2">
      <c r="A31" s="21">
        <v>8</v>
      </c>
      <c r="B31" s="21" t="s">
        <v>8</v>
      </c>
      <c r="C31" s="22"/>
      <c r="D31" s="153"/>
      <c r="E31" s="22"/>
      <c r="F31" s="49"/>
      <c r="G31" s="22"/>
      <c r="H31" s="49"/>
      <c r="I31" s="22"/>
      <c r="J31" s="49"/>
      <c r="K31" s="31">
        <v>0</v>
      </c>
      <c r="L31" s="31">
        <v>0</v>
      </c>
      <c r="M31" s="31">
        <v>0</v>
      </c>
      <c r="N31" s="153"/>
      <c r="O31" s="393"/>
      <c r="P31" s="49">
        <f t="shared" si="5"/>
        <v>0</v>
      </c>
    </row>
    <row r="32" spans="1:16" x14ac:dyDescent="0.2">
      <c r="A32" s="25">
        <v>9</v>
      </c>
      <c r="B32" s="25" t="s">
        <v>9</v>
      </c>
      <c r="C32" s="26"/>
      <c r="D32" s="154"/>
      <c r="E32" s="26"/>
      <c r="F32" s="456"/>
      <c r="G32" s="26"/>
      <c r="H32" s="456"/>
      <c r="I32" s="26"/>
      <c r="J32" s="456"/>
      <c r="K32" s="561"/>
      <c r="L32" s="561"/>
      <c r="M32" s="561"/>
      <c r="N32" s="35"/>
      <c r="O32" s="487"/>
      <c r="P32" s="456">
        <f t="shared" si="5"/>
        <v>0</v>
      </c>
    </row>
    <row r="33" spans="1:16" ht="13.5" thickBot="1" x14ac:dyDescent="0.25">
      <c r="A33" s="9"/>
      <c r="B33" s="2" t="s">
        <v>10</v>
      </c>
      <c r="C33" s="19">
        <f>SUM(C31:C32)</f>
        <v>0</v>
      </c>
      <c r="D33" s="19">
        <f>SUM(D31:D32)</f>
        <v>0</v>
      </c>
      <c r="E33" s="563">
        <f>SUM(E31:E32)</f>
        <v>0</v>
      </c>
      <c r="F33" s="564"/>
      <c r="G33" s="563">
        <f>SUM(G31:G32)</f>
        <v>0</v>
      </c>
      <c r="H33" s="564"/>
      <c r="I33" s="563">
        <f>SUM(I31:I32)</f>
        <v>0</v>
      </c>
      <c r="J33" s="564"/>
      <c r="K33" s="562">
        <f>SUM(K31:K32)</f>
        <v>0</v>
      </c>
      <c r="L33" s="562">
        <f>SUM(L31:L32)</f>
        <v>0</v>
      </c>
      <c r="M33" s="562">
        <f>SUM(M31:M32)</f>
        <v>0</v>
      </c>
      <c r="N33" s="562"/>
      <c r="O33" s="565">
        <f>+C33+D33+E33-G33+I33+K33-M33+N33+L33</f>
        <v>0</v>
      </c>
      <c r="P33" s="98">
        <f t="shared" si="5"/>
        <v>0</v>
      </c>
    </row>
    <row r="34" spans="1:16" ht="13.5" thickBot="1" x14ac:dyDescent="0.25">
      <c r="A34" s="5"/>
      <c r="B34" s="4" t="s">
        <v>11</v>
      </c>
      <c r="C34" s="20">
        <f>+C27+C30+C33</f>
        <v>23053713.25</v>
      </c>
      <c r="D34" s="20">
        <f>+D27+D30+D33</f>
        <v>0</v>
      </c>
      <c r="E34" s="20">
        <f>+E27+E30+E33</f>
        <v>230108307.63</v>
      </c>
      <c r="F34" s="46"/>
      <c r="G34" s="20">
        <f>+G27+G30+G33</f>
        <v>230108307.63</v>
      </c>
      <c r="H34" s="46"/>
      <c r="I34" s="20">
        <f>+I27+I30+I33</f>
        <v>10684965.93</v>
      </c>
      <c r="J34" s="46"/>
      <c r="K34" s="566">
        <f>+K27+K30+K33</f>
        <v>60697927.380000003</v>
      </c>
      <c r="L34" s="566">
        <f>+L27+L30+L33</f>
        <v>50224081.350000001</v>
      </c>
      <c r="M34" s="566">
        <f>+M27+M30+M33</f>
        <v>0</v>
      </c>
      <c r="N34" s="566"/>
      <c r="O34" s="20">
        <f>O27+O30+O33</f>
        <v>144660687.91000003</v>
      </c>
      <c r="P34" s="46">
        <f t="shared" si="5"/>
        <v>5.6717087459578951E-2</v>
      </c>
    </row>
    <row r="36" spans="1:16" x14ac:dyDescent="0.2">
      <c r="N36" s="47"/>
    </row>
  </sheetData>
  <mergeCells count="3">
    <mergeCell ref="K19:L19"/>
    <mergeCell ref="N2:O2"/>
    <mergeCell ref="E2:M2"/>
  </mergeCells>
  <printOptions horizontalCentered="1"/>
  <pageMargins left="0.51181102362204722" right="0.51181102362204722" top="0.94488188976377963" bottom="0.74803149606299213" header="0.31496062992125984" footer="0.31496062992125984"/>
  <pageSetup paperSize="9" scale="74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6"/>
  <sheetViews>
    <sheetView zoomScaleNormal="100" workbookViewId="0">
      <selection activeCell="M30" sqref="M30"/>
    </sheetView>
  </sheetViews>
  <sheetFormatPr defaultColWidth="11.42578125" defaultRowHeight="12.75" x14ac:dyDescent="0.2"/>
  <cols>
    <col min="1" max="1" width="2.7109375" customWidth="1"/>
    <col min="2" max="2" width="32.7109375" customWidth="1"/>
    <col min="3" max="3" width="13.42578125" bestFit="1" customWidth="1"/>
    <col min="4" max="4" width="13.5703125" style="105" customWidth="1"/>
    <col min="5" max="5" width="13.28515625" bestFit="1" customWidth="1"/>
    <col min="6" max="6" width="7.7109375" style="105" customWidth="1"/>
    <col min="7" max="7" width="13.28515625" bestFit="1" customWidth="1"/>
    <col min="8" max="8" width="6.28515625" style="105" customWidth="1"/>
    <col min="9" max="9" width="10.85546875" bestFit="1" customWidth="1"/>
    <col min="10" max="10" width="6.28515625" style="105" customWidth="1"/>
    <col min="11" max="11" width="13.140625" customWidth="1"/>
    <col min="12" max="12" width="10.7109375" style="105" customWidth="1"/>
    <col min="13" max="13" width="9.5703125" style="105" bestFit="1" customWidth="1"/>
    <col min="14" max="14" width="11.28515625" customWidth="1"/>
    <col min="15" max="15" width="11.42578125" style="105"/>
    <col min="16" max="16" width="10.5703125" style="105" bestFit="1" customWidth="1"/>
  </cols>
  <sheetData>
    <row r="2" spans="2:16" ht="15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">
      <c r="D3"/>
      <c r="F3"/>
      <c r="H3"/>
      <c r="J3"/>
      <c r="L3"/>
      <c r="M3"/>
      <c r="O3"/>
      <c r="P3"/>
    </row>
    <row r="4" spans="2:16" x14ac:dyDescent="0.2">
      <c r="D4"/>
      <c r="F4"/>
      <c r="H4"/>
      <c r="J4"/>
      <c r="L4"/>
      <c r="M4"/>
      <c r="O4"/>
      <c r="P4"/>
    </row>
    <row r="5" spans="2:16" ht="15" customHeight="1" x14ac:dyDescent="0.2">
      <c r="D5"/>
      <c r="F5"/>
      <c r="H5"/>
      <c r="J5"/>
      <c r="L5"/>
      <c r="M5"/>
      <c r="O5"/>
      <c r="P5"/>
    </row>
    <row r="6" spans="2:16" ht="15" customHeight="1" x14ac:dyDescent="0.2">
      <c r="D6"/>
      <c r="F6"/>
      <c r="H6"/>
      <c r="J6"/>
      <c r="L6"/>
      <c r="M6"/>
      <c r="O6"/>
      <c r="P6"/>
    </row>
    <row r="7" spans="2:16" ht="15" customHeight="1" x14ac:dyDescent="0.2">
      <c r="D7"/>
      <c r="F7"/>
      <c r="H7"/>
      <c r="J7"/>
      <c r="L7"/>
      <c r="M7"/>
      <c r="O7"/>
      <c r="P7"/>
    </row>
    <row r="8" spans="2:16" ht="15" customHeight="1" x14ac:dyDescent="0.2">
      <c r="D8"/>
      <c r="F8"/>
      <c r="H8"/>
      <c r="J8"/>
      <c r="L8"/>
      <c r="M8"/>
      <c r="O8"/>
      <c r="P8"/>
    </row>
    <row r="9" spans="2:16" ht="15" customHeight="1" x14ac:dyDescent="0.2">
      <c r="D9"/>
      <c r="F9"/>
      <c r="H9"/>
      <c r="J9"/>
      <c r="L9"/>
      <c r="M9"/>
      <c r="O9"/>
      <c r="P9"/>
    </row>
    <row r="10" spans="2:16" ht="15" customHeight="1" x14ac:dyDescent="0.2">
      <c r="D10"/>
      <c r="F10"/>
      <c r="H10"/>
      <c r="J10"/>
      <c r="L10"/>
      <c r="M10"/>
      <c r="O10"/>
      <c r="P10"/>
    </row>
    <row r="11" spans="2:16" ht="15" customHeight="1" x14ac:dyDescent="0.2">
      <c r="D11"/>
      <c r="F11"/>
      <c r="H11"/>
      <c r="J11"/>
      <c r="L11"/>
      <c r="M11"/>
      <c r="O11"/>
      <c r="P11"/>
    </row>
    <row r="12" spans="2:16" ht="15" customHeight="1" x14ac:dyDescent="0.2">
      <c r="D12"/>
      <c r="F12"/>
      <c r="H12"/>
      <c r="J12"/>
      <c r="L12"/>
      <c r="M12"/>
      <c r="O12"/>
      <c r="P12"/>
    </row>
    <row r="13" spans="2:16" ht="15" customHeight="1" x14ac:dyDescent="0.2">
      <c r="D13"/>
      <c r="F13"/>
      <c r="H13"/>
      <c r="J13"/>
      <c r="L13"/>
      <c r="M13"/>
      <c r="O13"/>
      <c r="P13"/>
    </row>
    <row r="14" spans="2:16" ht="15" customHeight="1" x14ac:dyDescent="0.2">
      <c r="D14"/>
      <c r="F14"/>
      <c r="H14"/>
      <c r="J14"/>
      <c r="L14"/>
      <c r="M14"/>
      <c r="O14"/>
      <c r="P14"/>
    </row>
    <row r="15" spans="2:16" ht="15" customHeight="1" x14ac:dyDescent="0.2">
      <c r="D15"/>
      <c r="F15"/>
      <c r="H15"/>
      <c r="J15"/>
      <c r="L15"/>
      <c r="M15"/>
      <c r="O15"/>
      <c r="P15"/>
    </row>
    <row r="16" spans="2:16" ht="15" customHeight="1" x14ac:dyDescent="0.2">
      <c r="D16"/>
      <c r="F16"/>
      <c r="H16"/>
      <c r="J16"/>
      <c r="L16"/>
      <c r="M16"/>
      <c r="O16"/>
      <c r="P16"/>
    </row>
    <row r="17" spans="4:16" ht="19.5" customHeight="1" x14ac:dyDescent="0.2">
      <c r="D17"/>
      <c r="F17"/>
      <c r="H17"/>
      <c r="J17"/>
      <c r="L17"/>
      <c r="M17"/>
      <c r="O17"/>
      <c r="P17"/>
    </row>
    <row r="18" spans="4:16" x14ac:dyDescent="0.2">
      <c r="D18"/>
      <c r="F18"/>
      <c r="H18"/>
      <c r="J18"/>
      <c r="L18"/>
      <c r="M18"/>
      <c r="O18"/>
      <c r="P18"/>
    </row>
    <row r="19" spans="4:16" x14ac:dyDescent="0.2">
      <c r="D19"/>
      <c r="F19"/>
      <c r="H19"/>
      <c r="J19"/>
      <c r="L19"/>
      <c r="M19"/>
      <c r="O19"/>
      <c r="P19"/>
    </row>
    <row r="20" spans="4:16" x14ac:dyDescent="0.2">
      <c r="D20"/>
      <c r="F20"/>
      <c r="H20"/>
      <c r="J20"/>
      <c r="L20"/>
      <c r="M20"/>
      <c r="O20"/>
      <c r="P20"/>
    </row>
    <row r="21" spans="4:16" x14ac:dyDescent="0.2">
      <c r="D21"/>
      <c r="F21"/>
      <c r="H21"/>
      <c r="J21"/>
      <c r="L21"/>
      <c r="M21"/>
      <c r="O21"/>
      <c r="P21"/>
    </row>
    <row r="22" spans="4:16" x14ac:dyDescent="0.2">
      <c r="D22"/>
      <c r="F22"/>
      <c r="H22"/>
      <c r="J22"/>
      <c r="L22"/>
      <c r="M22"/>
      <c r="O22"/>
      <c r="P22"/>
    </row>
    <row r="23" spans="4:16" x14ac:dyDescent="0.2">
      <c r="D23"/>
      <c r="F23"/>
      <c r="H23"/>
      <c r="J23"/>
      <c r="L23"/>
      <c r="M23"/>
      <c r="O23"/>
      <c r="P23"/>
    </row>
    <row r="24" spans="4:16" x14ac:dyDescent="0.2">
      <c r="D24"/>
      <c r="F24"/>
      <c r="H24"/>
      <c r="J24"/>
      <c r="L24"/>
      <c r="M24"/>
      <c r="O24"/>
      <c r="P24"/>
    </row>
    <row r="25" spans="4:16" x14ac:dyDescent="0.2">
      <c r="D25"/>
      <c r="F25"/>
      <c r="H25"/>
      <c r="J25"/>
      <c r="L25"/>
      <c r="M25"/>
      <c r="O25"/>
      <c r="P25"/>
    </row>
    <row r="26" spans="4:16" x14ac:dyDescent="0.2">
      <c r="D26"/>
      <c r="F26"/>
      <c r="H26"/>
      <c r="J26"/>
      <c r="L26"/>
      <c r="M26"/>
      <c r="O26"/>
      <c r="P26"/>
    </row>
    <row r="27" spans="4:16" x14ac:dyDescent="0.2">
      <c r="D27"/>
      <c r="F27"/>
      <c r="H27"/>
      <c r="J27"/>
      <c r="L27"/>
      <c r="M27"/>
      <c r="O27"/>
      <c r="P27"/>
    </row>
    <row r="28" spans="4:16" x14ac:dyDescent="0.2">
      <c r="D28"/>
      <c r="F28"/>
      <c r="H28"/>
      <c r="J28"/>
      <c r="L28"/>
      <c r="M28"/>
      <c r="O28"/>
      <c r="P28"/>
    </row>
    <row r="29" spans="4:16" x14ac:dyDescent="0.2">
      <c r="D29"/>
      <c r="F29"/>
      <c r="H29"/>
      <c r="J29"/>
      <c r="L29"/>
      <c r="M29"/>
      <c r="O29"/>
      <c r="P29"/>
    </row>
    <row r="30" spans="4:16" x14ac:dyDescent="0.2">
      <c r="D30"/>
      <c r="F30"/>
      <c r="H30"/>
      <c r="J30"/>
      <c r="L30"/>
      <c r="M30"/>
      <c r="O30"/>
      <c r="P30"/>
    </row>
    <row r="31" spans="4:16" x14ac:dyDescent="0.2">
      <c r="D31"/>
      <c r="F31"/>
      <c r="H31"/>
      <c r="J31"/>
      <c r="L31"/>
      <c r="M31"/>
      <c r="O31"/>
      <c r="P31"/>
    </row>
    <row r="32" spans="4:16" x14ac:dyDescent="0.2">
      <c r="D32"/>
      <c r="F32"/>
      <c r="H32"/>
      <c r="J32"/>
      <c r="L32"/>
      <c r="M32"/>
      <c r="O32"/>
      <c r="P32"/>
    </row>
    <row r="33" spans="4:16" x14ac:dyDescent="0.2">
      <c r="D33"/>
      <c r="F33"/>
      <c r="H33"/>
      <c r="J33"/>
      <c r="L33"/>
      <c r="M33"/>
      <c r="O33"/>
      <c r="P33"/>
    </row>
    <row r="34" spans="4:16" x14ac:dyDescent="0.2">
      <c r="D34"/>
      <c r="F34"/>
      <c r="H34"/>
      <c r="J34"/>
      <c r="L34"/>
      <c r="M34"/>
      <c r="O34"/>
      <c r="P34"/>
    </row>
    <row r="35" spans="4:16" x14ac:dyDescent="0.2">
      <c r="D35"/>
      <c r="F35"/>
      <c r="H35"/>
      <c r="J35"/>
      <c r="L35"/>
      <c r="M35"/>
      <c r="O35"/>
      <c r="P35"/>
    </row>
    <row r="36" spans="4:16" x14ac:dyDescent="0.2">
      <c r="D36"/>
      <c r="F36"/>
      <c r="H36"/>
      <c r="J36"/>
      <c r="L36"/>
      <c r="M36"/>
      <c r="O36"/>
      <c r="P36"/>
    </row>
    <row r="37" spans="4:16" x14ac:dyDescent="0.2">
      <c r="D37"/>
      <c r="F37"/>
      <c r="H37"/>
      <c r="J37"/>
      <c r="L37"/>
      <c r="M37"/>
      <c r="O37"/>
      <c r="P37"/>
    </row>
    <row r="38" spans="4:16" x14ac:dyDescent="0.2">
      <c r="D38"/>
      <c r="F38"/>
      <c r="H38"/>
      <c r="J38"/>
      <c r="L38"/>
      <c r="M38"/>
      <c r="O38"/>
      <c r="P38"/>
    </row>
    <row r="39" spans="4:16" x14ac:dyDescent="0.2">
      <c r="D39"/>
      <c r="F39"/>
      <c r="H39"/>
      <c r="J39"/>
      <c r="L39"/>
      <c r="M39"/>
      <c r="O39"/>
      <c r="P39"/>
    </row>
    <row r="40" spans="4:16" x14ac:dyDescent="0.2">
      <c r="D40"/>
      <c r="F40"/>
      <c r="H40"/>
      <c r="J40"/>
      <c r="L40"/>
      <c r="M40"/>
      <c r="O40"/>
      <c r="P40"/>
    </row>
    <row r="41" spans="4:16" x14ac:dyDescent="0.2">
      <c r="D41"/>
      <c r="F41"/>
      <c r="H41"/>
      <c r="J41"/>
      <c r="L41"/>
      <c r="M41"/>
      <c r="O41"/>
      <c r="P41"/>
    </row>
    <row r="42" spans="4:16" x14ac:dyDescent="0.2">
      <c r="D42"/>
      <c r="F42"/>
      <c r="H42"/>
      <c r="J42"/>
      <c r="L42"/>
      <c r="M42"/>
      <c r="O42"/>
      <c r="P42"/>
    </row>
    <row r="43" spans="4:16" x14ac:dyDescent="0.2">
      <c r="D43"/>
      <c r="F43"/>
      <c r="H43"/>
      <c r="J43"/>
      <c r="L43"/>
      <c r="M43"/>
      <c r="O43"/>
      <c r="P43"/>
    </row>
    <row r="44" spans="4:16" x14ac:dyDescent="0.2">
      <c r="D44"/>
      <c r="F44"/>
      <c r="H44"/>
      <c r="J44"/>
      <c r="L44"/>
      <c r="M44"/>
      <c r="O44"/>
      <c r="P44"/>
    </row>
    <row r="45" spans="4:16" x14ac:dyDescent="0.2">
      <c r="D45"/>
      <c r="F45"/>
      <c r="H45"/>
      <c r="J45"/>
      <c r="L45"/>
      <c r="M45"/>
      <c r="O45"/>
      <c r="P45"/>
    </row>
    <row r="46" spans="4:16" x14ac:dyDescent="0.2">
      <c r="D46"/>
      <c r="F46"/>
      <c r="H46"/>
      <c r="J46"/>
      <c r="L46"/>
      <c r="M46"/>
      <c r="O46"/>
      <c r="P46"/>
    </row>
    <row r="47" spans="4:16" x14ac:dyDescent="0.2">
      <c r="D47"/>
      <c r="F47"/>
      <c r="H47"/>
      <c r="J47"/>
      <c r="L47"/>
      <c r="M47"/>
      <c r="O47"/>
      <c r="P47"/>
    </row>
    <row r="48" spans="4:16" x14ac:dyDescent="0.2">
      <c r="D48"/>
      <c r="F48"/>
      <c r="H48"/>
      <c r="J48"/>
      <c r="L48"/>
      <c r="M48"/>
      <c r="O48"/>
      <c r="P48"/>
    </row>
    <row r="49" spans="4:16" x14ac:dyDescent="0.2">
      <c r="D49"/>
      <c r="F49"/>
      <c r="H49"/>
      <c r="J49"/>
      <c r="L49"/>
      <c r="M49"/>
      <c r="O49"/>
      <c r="P49"/>
    </row>
    <row r="50" spans="4:16" x14ac:dyDescent="0.2">
      <c r="D50"/>
      <c r="F50"/>
      <c r="H50"/>
      <c r="J50"/>
      <c r="L50"/>
      <c r="M50"/>
      <c r="O50"/>
      <c r="P50"/>
    </row>
    <row r="51" spans="4:16" x14ac:dyDescent="0.2">
      <c r="D51"/>
      <c r="F51"/>
      <c r="H51"/>
      <c r="J51"/>
      <c r="L51"/>
      <c r="M51"/>
      <c r="O51"/>
      <c r="P51"/>
    </row>
    <row r="52" spans="4:16" x14ac:dyDescent="0.2">
      <c r="D52"/>
      <c r="F52"/>
      <c r="H52"/>
      <c r="J52"/>
      <c r="L52"/>
      <c r="M52"/>
      <c r="O52"/>
      <c r="P52"/>
    </row>
    <row r="53" spans="4:16" x14ac:dyDescent="0.2">
      <c r="D53"/>
      <c r="F53"/>
      <c r="H53"/>
      <c r="J53"/>
      <c r="L53"/>
      <c r="M53"/>
      <c r="O53"/>
      <c r="P53"/>
    </row>
    <row r="54" spans="4:16" x14ac:dyDescent="0.2">
      <c r="D54"/>
      <c r="F54"/>
      <c r="H54"/>
      <c r="J54"/>
      <c r="L54"/>
      <c r="M54"/>
      <c r="O54"/>
      <c r="P54"/>
    </row>
    <row r="55" spans="4:16" x14ac:dyDescent="0.2">
      <c r="D55"/>
      <c r="F55"/>
      <c r="H55"/>
      <c r="J55"/>
      <c r="L55"/>
      <c r="M55"/>
      <c r="O55"/>
      <c r="P55"/>
    </row>
    <row r="56" spans="4:16" x14ac:dyDescent="0.2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94488188976377963" bottom="0.74803149606299213" header="0.31496062992125984" footer="0.31496062992125984"/>
  <pageSetup paperSize="9" scale="95" orientation="landscape" r:id="rId1"/>
  <headerFooter>
    <oddHeader>&amp;L&amp;"Arial,Negreta"&amp;8&amp;K03+000Ajuntament de Barcelona&amp;C&amp;"Arial,Negreta"&amp;8&amp;K03+000Pressupost 2015
Execució Pressupostària a Novembre&amp;R&amp;"Arial,Negreta"&amp;8&amp;K03+000Direcció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40</vt:i4>
      </vt:variant>
      <vt:variant>
        <vt:lpstr>Intervals amb nom</vt:lpstr>
      </vt:variant>
      <vt:variant>
        <vt:i4>29</vt:i4>
      </vt:variant>
    </vt:vector>
  </HeadingPairs>
  <TitlesOfParts>
    <vt:vector size="69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DProg</vt:lpstr>
      <vt:lpstr>Gràfics 6</vt:lpstr>
      <vt:lpstr>DOrg</vt:lpstr>
      <vt:lpstr>Gràfics 7</vt:lpstr>
      <vt:lpstr>DCap 01</vt:lpstr>
      <vt:lpstr>Gràfics 8</vt:lpstr>
      <vt:lpstr>DCap 02</vt:lpstr>
      <vt:lpstr>Gràfics 9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</vt:lpstr>
      <vt:lpstr>DCap 0702</vt:lpstr>
      <vt:lpstr>Gràfics 16</vt:lpstr>
      <vt:lpstr>DCap 0703</vt:lpstr>
      <vt:lpstr>Gràfics 17</vt:lpstr>
      <vt:lpstr>DCap 08</vt:lpstr>
      <vt:lpstr>Gràfics 18</vt:lpstr>
      <vt:lpstr>DCap 06</vt:lpstr>
      <vt:lpstr>Gràfics 19</vt:lpstr>
      <vt:lpstr>Full de control</vt:lpstr>
      <vt:lpstr>DDetallCorrent!Àrea_d'impressió</vt:lpstr>
      <vt:lpstr>DOrg!Àrea_d'impressió</vt:lpstr>
      <vt:lpstr>DProg!Àrea_d'impressió</vt:lpstr>
      <vt:lpstr>'Gràfics 16'!Àrea_d'impressió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DDetallCorrent!Print_Area</vt:lpstr>
      <vt:lpstr>DProg!Print_Area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2016-01-04T11:44:46Z</cp:lastPrinted>
  <dcterms:created xsi:type="dcterms:W3CDTF">2011-01-04T08:57:13Z</dcterms:created>
  <dcterms:modified xsi:type="dcterms:W3CDTF">2016-04-06T10:55:27Z</dcterms:modified>
</cp:coreProperties>
</file>